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1440" windowWidth="15345" windowHeight="4545"/>
  </bookViews>
  <sheets>
    <sheet name="REVEN&amp;EXP - ALL FUNDS" sheetId="22" r:id="rId1"/>
    <sheet name="TOTAL BUDGET" sheetId="24" state="hidden" r:id="rId2"/>
    <sheet name="GF - SUMMARY" sheetId="3" r:id="rId3"/>
    <sheet name="GF - REVENUE" sheetId="1" r:id="rId4"/>
    <sheet name="GF - SECRETARY" sheetId="8" r:id="rId5"/>
    <sheet name="GF - COURT" sheetId="6" r:id="rId6"/>
    <sheet name="GF - PERMITTING" sheetId="7" r:id="rId7"/>
    <sheet name="GF - DS" sheetId="10" r:id="rId8"/>
    <sheet name="GF - PD" sheetId="9" r:id="rId9"/>
    <sheet name="GF - LEGAL" sheetId="11" state="hidden" r:id="rId10"/>
    <sheet name="GF -ENGINEERING" sheetId="15" state="hidden" r:id="rId11"/>
    <sheet name="GF - AUDITOR" sheetId="19" state="hidden" r:id="rId12"/>
    <sheet name="GF - GCAD" sheetId="17" state="hidden" r:id="rId13"/>
    <sheet name="GF - GCTA" sheetId="18" state="hidden" r:id="rId14"/>
    <sheet name="GF - MCLA" sheetId="20" state="hidden" r:id="rId15"/>
    <sheet name="GF - MVFD" sheetId="12" state="hidden" r:id="rId16"/>
    <sheet name="GF - EMS" sheetId="16" state="hidden" r:id="rId17"/>
    <sheet name="GF - SRO" sheetId="27" r:id="rId18"/>
    <sheet name="UF -SUMMARY" sheetId="21" r:id="rId19"/>
    <sheet name="UF - REVENUE" sheetId="5" r:id="rId20"/>
    <sheet name="UF - OPERATIONS" sheetId="13" r:id="rId21"/>
    <sheet name="UF - ADMIN" sheetId="25" r:id="rId22"/>
    <sheet name="UF-UTILITY CLERK" sheetId="26" r:id="rId23"/>
    <sheet name="Sheet1" sheetId="28" r:id="rId24"/>
  </sheets>
  <definedNames>
    <definedName name="_xlnm.Print_Titles" localSheetId="3">'GF - REVENUE'!$5:$5</definedName>
    <definedName name="_xlnm.Print_Titles" localSheetId="20">'UF - OPERATIONS'!$5:$5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22" l="1"/>
  <c r="O18" i="22"/>
  <c r="O19" i="22"/>
  <c r="O20" i="22"/>
  <c r="O22" i="22"/>
  <c r="N19" i="22"/>
  <c r="N18" i="22"/>
  <c r="N16" i="22"/>
  <c r="M14" i="22"/>
  <c r="M23" i="22" s="1"/>
  <c r="M26" i="22" s="1"/>
  <c r="M27" i="22" s="1"/>
  <c r="M25" i="22"/>
  <c r="M21" i="22"/>
  <c r="M20" i="22"/>
  <c r="M19" i="22"/>
  <c r="M18" i="22"/>
  <c r="M17" i="22"/>
  <c r="M16" i="22"/>
  <c r="M15" i="22"/>
  <c r="M11" i="22"/>
  <c r="M10" i="22"/>
  <c r="M23" i="21"/>
  <c r="M25" i="21" s="1"/>
  <c r="M22" i="21"/>
  <c r="M21" i="21"/>
  <c r="M20" i="21"/>
  <c r="N13" i="21"/>
  <c r="N12" i="21"/>
  <c r="N11" i="21"/>
  <c r="M15" i="21"/>
  <c r="M13" i="21"/>
  <c r="M12" i="21"/>
  <c r="M11" i="21"/>
  <c r="M10" i="21"/>
  <c r="L34" i="26"/>
  <c r="M32" i="26"/>
  <c r="L32" i="26"/>
  <c r="M28" i="26"/>
  <c r="M29" i="26"/>
  <c r="M27" i="26"/>
  <c r="L19" i="26"/>
  <c r="M19" i="26"/>
  <c r="M12" i="26"/>
  <c r="M13" i="26"/>
  <c r="M14" i="26"/>
  <c r="M15" i="26"/>
  <c r="M17" i="26"/>
  <c r="M18" i="26"/>
  <c r="M11" i="26"/>
  <c r="N51" i="25"/>
  <c r="M51" i="25"/>
  <c r="O49" i="25"/>
  <c r="O48" i="25"/>
  <c r="O47" i="25"/>
  <c r="N49" i="25"/>
  <c r="O43" i="25"/>
  <c r="O42" i="25"/>
  <c r="O41" i="25"/>
  <c r="N43" i="25"/>
  <c r="O38" i="25"/>
  <c r="O35" i="25"/>
  <c r="O36" i="25"/>
  <c r="O37" i="25"/>
  <c r="O34" i="25"/>
  <c r="N38" i="25"/>
  <c r="O31" i="25"/>
  <c r="O21" i="25"/>
  <c r="O22" i="25"/>
  <c r="O23" i="25"/>
  <c r="O25" i="25"/>
  <c r="O26" i="25"/>
  <c r="O27" i="25"/>
  <c r="O28" i="25"/>
  <c r="O29" i="25"/>
  <c r="O30" i="25"/>
  <c r="O20" i="25"/>
  <c r="N31" i="25"/>
  <c r="O17" i="25"/>
  <c r="N17" i="25"/>
  <c r="O12" i="25"/>
  <c r="O13" i="25"/>
  <c r="O14" i="25"/>
  <c r="O15" i="25"/>
  <c r="O16" i="25"/>
  <c r="N84" i="13"/>
  <c r="M84" i="13"/>
  <c r="O82" i="13"/>
  <c r="N82" i="13"/>
  <c r="O61" i="13"/>
  <c r="N61" i="13"/>
  <c r="O57" i="13"/>
  <c r="O45" i="13"/>
  <c r="O46" i="13"/>
  <c r="O47" i="13"/>
  <c r="O48" i="13"/>
  <c r="O49" i="13"/>
  <c r="O50" i="13"/>
  <c r="O53" i="13"/>
  <c r="O54" i="13"/>
  <c r="N57" i="13"/>
  <c r="O41" i="13"/>
  <c r="O36" i="13"/>
  <c r="O37" i="13"/>
  <c r="O38" i="13"/>
  <c r="O39" i="13"/>
  <c r="O40" i="13"/>
  <c r="O35" i="13"/>
  <c r="N41" i="13"/>
  <c r="O32" i="13"/>
  <c r="O29" i="13"/>
  <c r="N32" i="13"/>
  <c r="O22" i="13"/>
  <c r="O12" i="13"/>
  <c r="O13" i="13"/>
  <c r="O14" i="13"/>
  <c r="O15" i="13"/>
  <c r="O17" i="13"/>
  <c r="O18" i="13"/>
  <c r="O20" i="13"/>
  <c r="O21" i="13"/>
  <c r="N22" i="13"/>
  <c r="O34" i="5"/>
  <c r="O35" i="5"/>
  <c r="O33" i="5"/>
  <c r="O21" i="5"/>
  <c r="O22" i="5" s="1"/>
  <c r="O11" i="5"/>
  <c r="O12" i="5"/>
  <c r="O13" i="5"/>
  <c r="O15" i="5"/>
  <c r="O16" i="5"/>
  <c r="O17" i="5"/>
  <c r="O10" i="5"/>
  <c r="O18" i="5" s="1"/>
  <c r="N10" i="21" s="1"/>
  <c r="N15" i="21" s="1"/>
  <c r="N10" i="22" s="1"/>
  <c r="O10" i="22" s="1"/>
  <c r="N38" i="5"/>
  <c r="O30" i="5"/>
  <c r="L14" i="21" s="1"/>
  <c r="N30" i="5"/>
  <c r="M30" i="5"/>
  <c r="M38" i="5" s="1"/>
  <c r="N36" i="5"/>
  <c r="O26" i="5"/>
  <c r="N26" i="5"/>
  <c r="N22" i="5"/>
  <c r="N18" i="5"/>
  <c r="M9" i="22"/>
  <c r="N26" i="3"/>
  <c r="N35" i="27"/>
  <c r="O30" i="27"/>
  <c r="N30" i="27"/>
  <c r="O20" i="27"/>
  <c r="O12" i="27"/>
  <c r="O14" i="27"/>
  <c r="O15" i="27"/>
  <c r="O17" i="27"/>
  <c r="O18" i="27"/>
  <c r="O19" i="27"/>
  <c r="O23" i="27"/>
  <c r="O24" i="27"/>
  <c r="O26" i="27"/>
  <c r="O27" i="27"/>
  <c r="N20" i="27"/>
  <c r="N25" i="3"/>
  <c r="N39" i="9"/>
  <c r="N48" i="9"/>
  <c r="O34" i="9"/>
  <c r="N34" i="9"/>
  <c r="O13" i="9"/>
  <c r="O14" i="9"/>
  <c r="O15" i="9"/>
  <c r="O16" i="9"/>
  <c r="O21" i="9"/>
  <c r="O18" i="9"/>
  <c r="O19" i="9"/>
  <c r="O20" i="9"/>
  <c r="O24" i="9"/>
  <c r="O26" i="9"/>
  <c r="O27" i="9"/>
  <c r="O29" i="9"/>
  <c r="O30" i="9"/>
  <c r="O32" i="9"/>
  <c r="O33" i="9"/>
  <c r="O37" i="9"/>
  <c r="O39" i="9" s="1"/>
  <c r="O38" i="9"/>
  <c r="O42" i="9"/>
  <c r="O48" i="9" s="1"/>
  <c r="O43" i="9"/>
  <c r="O44" i="9"/>
  <c r="O45" i="9"/>
  <c r="O46" i="9"/>
  <c r="O47" i="9"/>
  <c r="O11" i="9"/>
  <c r="N21" i="9"/>
  <c r="N55" i="9" s="1"/>
  <c r="N24" i="3"/>
  <c r="N45" i="10"/>
  <c r="O43" i="10"/>
  <c r="N43" i="10"/>
  <c r="N37" i="10"/>
  <c r="N32" i="10"/>
  <c r="O24" i="10"/>
  <c r="N21" i="10"/>
  <c r="N23" i="3"/>
  <c r="N34" i="7"/>
  <c r="N32" i="7"/>
  <c r="N23" i="7"/>
  <c r="N19" i="7"/>
  <c r="O26" i="7"/>
  <c r="O31" i="7"/>
  <c r="O11" i="7"/>
  <c r="N22" i="3"/>
  <c r="N37" i="6"/>
  <c r="N35" i="6"/>
  <c r="N25" i="6"/>
  <c r="N20" i="6"/>
  <c r="O28" i="6"/>
  <c r="O34" i="6"/>
  <c r="O12" i="6"/>
  <c r="N21" i="3"/>
  <c r="O32" i="8"/>
  <c r="O23" i="8"/>
  <c r="P12" i="8"/>
  <c r="P11" i="8"/>
  <c r="O18" i="8"/>
  <c r="O46" i="8" s="1"/>
  <c r="O14" i="3"/>
  <c r="O13" i="3"/>
  <c r="N15" i="3"/>
  <c r="N14" i="3"/>
  <c r="N12" i="3"/>
  <c r="N10" i="3"/>
  <c r="N13" i="3"/>
  <c r="N9" i="3"/>
  <c r="N8" i="3"/>
  <c r="M115" i="1"/>
  <c r="M103" i="1"/>
  <c r="N103" i="1"/>
  <c r="L103" i="1"/>
  <c r="M14" i="3" s="1"/>
  <c r="N106" i="1"/>
  <c r="M113" i="1"/>
  <c r="N96" i="1"/>
  <c r="N95" i="1"/>
  <c r="N94" i="1"/>
  <c r="M96" i="1"/>
  <c r="N91" i="1"/>
  <c r="N83" i="1"/>
  <c r="N84" i="1"/>
  <c r="N85" i="1"/>
  <c r="N86" i="1"/>
  <c r="N87" i="1"/>
  <c r="N88" i="1"/>
  <c r="N89" i="1"/>
  <c r="N90" i="1"/>
  <c r="N82" i="1"/>
  <c r="M91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47" i="1"/>
  <c r="M79" i="1"/>
  <c r="M38" i="1"/>
  <c r="N31" i="1"/>
  <c r="N32" i="1"/>
  <c r="N34" i="1"/>
  <c r="N35" i="1"/>
  <c r="N36" i="1"/>
  <c r="N37" i="1"/>
  <c r="M13" i="1"/>
  <c r="M21" i="1"/>
  <c r="N11" i="1"/>
  <c r="M41" i="3"/>
  <c r="M11" i="3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96" i="1"/>
  <c r="L65" i="1"/>
  <c r="N65" i="1" s="1"/>
  <c r="N79" i="1" s="1"/>
  <c r="O12" i="3" s="1"/>
  <c r="L33" i="1"/>
  <c r="N33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0" i="1"/>
  <c r="N20" i="1" s="1"/>
  <c r="L19" i="1"/>
  <c r="N19" i="1" s="1"/>
  <c r="L18" i="1"/>
  <c r="N18" i="1" s="1"/>
  <c r="L17" i="1"/>
  <c r="N17" i="1" s="1"/>
  <c r="L16" i="1"/>
  <c r="N16" i="1" s="1"/>
  <c r="L12" i="1"/>
  <c r="N12" i="1" s="1"/>
  <c r="L10" i="1"/>
  <c r="N10" i="1" s="1"/>
  <c r="L9" i="1"/>
  <c r="N9" i="1" s="1"/>
  <c r="N31" i="8"/>
  <c r="P31" i="8" s="1"/>
  <c r="N30" i="8"/>
  <c r="N29" i="8"/>
  <c r="P29" i="8" s="1"/>
  <c r="N28" i="8"/>
  <c r="N27" i="8"/>
  <c r="P27" i="8" s="1"/>
  <c r="N26" i="8"/>
  <c r="N22" i="8"/>
  <c r="N21" i="8"/>
  <c r="P21" i="8" s="1"/>
  <c r="N17" i="8"/>
  <c r="P17" i="8" s="1"/>
  <c r="N16" i="8"/>
  <c r="P16" i="8" s="1"/>
  <c r="N14" i="8"/>
  <c r="P14" i="8" s="1"/>
  <c r="N13" i="8"/>
  <c r="P13" i="8" s="1"/>
  <c r="M11" i="6"/>
  <c r="O11" i="6" s="1"/>
  <c r="M33" i="6"/>
  <c r="M32" i="6"/>
  <c r="M31" i="6"/>
  <c r="O31" i="6" s="1"/>
  <c r="M30" i="6"/>
  <c r="O30" i="6" s="1"/>
  <c r="M29" i="6"/>
  <c r="O29" i="6" s="1"/>
  <c r="M24" i="6"/>
  <c r="O24" i="6" s="1"/>
  <c r="M23" i="6"/>
  <c r="M19" i="6"/>
  <c r="O19" i="6" s="1"/>
  <c r="M18" i="6"/>
  <c r="O18" i="6" s="1"/>
  <c r="M17" i="6"/>
  <c r="M16" i="6"/>
  <c r="O16" i="6" s="1"/>
  <c r="M15" i="6"/>
  <c r="O15" i="6" s="1"/>
  <c r="M14" i="6"/>
  <c r="O14" i="6" s="1"/>
  <c r="M13" i="6"/>
  <c r="O13" i="6" s="1"/>
  <c r="M30" i="7"/>
  <c r="M29" i="7"/>
  <c r="O29" i="7" s="1"/>
  <c r="M28" i="7"/>
  <c r="O28" i="7" s="1"/>
  <c r="M27" i="7"/>
  <c r="M22" i="7"/>
  <c r="M23" i="7" s="1"/>
  <c r="M18" i="7"/>
  <c r="O18" i="7" s="1"/>
  <c r="M17" i="7"/>
  <c r="O17" i="7" s="1"/>
  <c r="M15" i="7"/>
  <c r="O15" i="7" s="1"/>
  <c r="M14" i="7"/>
  <c r="O14" i="7" s="1"/>
  <c r="M13" i="7"/>
  <c r="O13" i="7" s="1"/>
  <c r="M12" i="7"/>
  <c r="M43" i="10"/>
  <c r="M36" i="10"/>
  <c r="O36" i="10" s="1"/>
  <c r="M35" i="10"/>
  <c r="O35" i="10" s="1"/>
  <c r="M31" i="10"/>
  <c r="M30" i="10"/>
  <c r="M29" i="10"/>
  <c r="O29" i="10" s="1"/>
  <c r="M28" i="10"/>
  <c r="O28" i="10" s="1"/>
  <c r="M27" i="10"/>
  <c r="O27" i="10" s="1"/>
  <c r="M26" i="10"/>
  <c r="O26" i="10" s="1"/>
  <c r="M25" i="10"/>
  <c r="M20" i="10"/>
  <c r="O20" i="10" s="1"/>
  <c r="M19" i="10"/>
  <c r="M18" i="10"/>
  <c r="O18" i="10" s="1"/>
  <c r="M17" i="10"/>
  <c r="O17" i="10" s="1"/>
  <c r="M16" i="10"/>
  <c r="M15" i="10"/>
  <c r="O15" i="10" s="1"/>
  <c r="M14" i="10"/>
  <c r="O14" i="10" s="1"/>
  <c r="M13" i="10"/>
  <c r="O13" i="10" s="1"/>
  <c r="M12" i="10"/>
  <c r="O12" i="10" s="1"/>
  <c r="M11" i="10"/>
  <c r="M48" i="9"/>
  <c r="M39" i="9"/>
  <c r="M34" i="9"/>
  <c r="M21" i="9"/>
  <c r="M55" i="9" s="1"/>
  <c r="M20" i="27"/>
  <c r="M35" i="27" s="1"/>
  <c r="M26" i="3" s="1"/>
  <c r="M30" i="27"/>
  <c r="M35" i="5"/>
  <c r="M34" i="5"/>
  <c r="M33" i="5"/>
  <c r="M26" i="5"/>
  <c r="M22" i="5"/>
  <c r="L11" i="21" s="1"/>
  <c r="M17" i="5"/>
  <c r="M16" i="5"/>
  <c r="M15" i="5"/>
  <c r="M13" i="5"/>
  <c r="M12" i="5"/>
  <c r="M11" i="5"/>
  <c r="M10" i="5"/>
  <c r="M48" i="25"/>
  <c r="M49" i="25" s="1"/>
  <c r="M41" i="25"/>
  <c r="M37" i="25"/>
  <c r="M36" i="25"/>
  <c r="M35" i="25"/>
  <c r="M28" i="25"/>
  <c r="M26" i="25"/>
  <c r="M25" i="25"/>
  <c r="M24" i="25"/>
  <c r="M22" i="25"/>
  <c r="M21" i="25"/>
  <c r="M15" i="25"/>
  <c r="M14" i="25"/>
  <c r="M13" i="25"/>
  <c r="M12" i="25"/>
  <c r="M46" i="25"/>
  <c r="K113" i="1"/>
  <c r="K15" i="3" s="1"/>
  <c r="K103" i="1"/>
  <c r="K96" i="1"/>
  <c r="K13" i="3" s="1"/>
  <c r="K91" i="1"/>
  <c r="K79" i="1"/>
  <c r="K42" i="1"/>
  <c r="K38" i="1"/>
  <c r="K10" i="3" s="1"/>
  <c r="K21" i="1"/>
  <c r="K9" i="3" s="1"/>
  <c r="K13" i="1"/>
  <c r="K8" i="3" s="1"/>
  <c r="L44" i="8"/>
  <c r="L39" i="8"/>
  <c r="L32" i="8"/>
  <c r="L23" i="8"/>
  <c r="L18" i="8"/>
  <c r="K35" i="6"/>
  <c r="K25" i="6"/>
  <c r="K20" i="6"/>
  <c r="K32" i="7"/>
  <c r="K23" i="7"/>
  <c r="K19" i="7"/>
  <c r="J32" i="7"/>
  <c r="J23" i="7"/>
  <c r="J19" i="7"/>
  <c r="K37" i="10"/>
  <c r="K21" i="10"/>
  <c r="K46" i="9"/>
  <c r="K45" i="9"/>
  <c r="K44" i="9"/>
  <c r="K42" i="9"/>
  <c r="K33" i="9"/>
  <c r="K31" i="9"/>
  <c r="K13" i="9"/>
  <c r="K12" i="9"/>
  <c r="K11" i="9"/>
  <c r="K29" i="27"/>
  <c r="K30" i="27" s="1"/>
  <c r="K17" i="27"/>
  <c r="K12" i="27"/>
  <c r="K81" i="13"/>
  <c r="M81" i="13" s="1"/>
  <c r="K80" i="13"/>
  <c r="M80" i="13" s="1"/>
  <c r="M82" i="13" s="1"/>
  <c r="K78" i="13"/>
  <c r="K76" i="13"/>
  <c r="K75" i="13"/>
  <c r="K74" i="13"/>
  <c r="K72" i="13"/>
  <c r="K71" i="13"/>
  <c r="K70" i="13"/>
  <c r="K69" i="13"/>
  <c r="K67" i="13"/>
  <c r="K66" i="13"/>
  <c r="K65" i="13"/>
  <c r="K64" i="13"/>
  <c r="K63" i="13"/>
  <c r="K60" i="13"/>
  <c r="M60" i="13" s="1"/>
  <c r="M61" i="13" s="1"/>
  <c r="L20" i="22" s="1"/>
  <c r="K56" i="13"/>
  <c r="K55" i="13"/>
  <c r="M55" i="13" s="1"/>
  <c r="K54" i="13"/>
  <c r="M54" i="13" s="1"/>
  <c r="K53" i="13"/>
  <c r="M53" i="13" s="1"/>
  <c r="K52" i="13"/>
  <c r="M52" i="13" s="1"/>
  <c r="K51" i="13"/>
  <c r="K50" i="13"/>
  <c r="M50" i="13" s="1"/>
  <c r="K49" i="13"/>
  <c r="K48" i="13"/>
  <c r="M48" i="13" s="1"/>
  <c r="K47" i="13"/>
  <c r="M47" i="13" s="1"/>
  <c r="K46" i="13"/>
  <c r="M46" i="13" s="1"/>
  <c r="K45" i="13"/>
  <c r="M45" i="13" s="1"/>
  <c r="K44" i="13"/>
  <c r="K40" i="13"/>
  <c r="M40" i="13" s="1"/>
  <c r="K39" i="13"/>
  <c r="M39" i="13" s="1"/>
  <c r="K38" i="13"/>
  <c r="K37" i="13"/>
  <c r="K36" i="13"/>
  <c r="K35" i="13"/>
  <c r="K31" i="13"/>
  <c r="K30" i="13"/>
  <c r="K29" i="13"/>
  <c r="M32" i="13" s="1"/>
  <c r="K28" i="13"/>
  <c r="K27" i="13"/>
  <c r="K26" i="13"/>
  <c r="K25" i="13"/>
  <c r="K21" i="13"/>
  <c r="M21" i="13" s="1"/>
  <c r="K20" i="13"/>
  <c r="K19" i="13"/>
  <c r="M19" i="13" s="1"/>
  <c r="K18" i="13"/>
  <c r="M18" i="13" s="1"/>
  <c r="K17" i="13"/>
  <c r="K16" i="13"/>
  <c r="K15" i="13"/>
  <c r="M15" i="13" s="1"/>
  <c r="K14" i="13"/>
  <c r="M14" i="13" s="1"/>
  <c r="K13" i="13"/>
  <c r="M13" i="13" s="1"/>
  <c r="K12" i="13"/>
  <c r="K11" i="13"/>
  <c r="J57" i="13"/>
  <c r="K57" i="13" s="1"/>
  <c r="I31" i="26"/>
  <c r="K31" i="26" s="1"/>
  <c r="I30" i="26"/>
  <c r="K30" i="26" s="1"/>
  <c r="I29" i="26"/>
  <c r="K29" i="26" s="1"/>
  <c r="I28" i="26"/>
  <c r="K28" i="26" s="1"/>
  <c r="I27" i="26"/>
  <c r="K27" i="26" s="1"/>
  <c r="I18" i="26"/>
  <c r="K18" i="26" s="1"/>
  <c r="I17" i="26"/>
  <c r="K17" i="26" s="1"/>
  <c r="I16" i="26"/>
  <c r="K16" i="26" s="1"/>
  <c r="I15" i="26"/>
  <c r="K15" i="26" s="1"/>
  <c r="I14" i="26"/>
  <c r="K14" i="26" s="1"/>
  <c r="I13" i="26"/>
  <c r="K13" i="26" s="1"/>
  <c r="I12" i="26"/>
  <c r="K12" i="26" s="1"/>
  <c r="I11" i="26"/>
  <c r="O38" i="5" l="1"/>
  <c r="M34" i="26"/>
  <c r="N22" i="21" s="1"/>
  <c r="O51" i="25"/>
  <c r="N20" i="21" s="1"/>
  <c r="O84" i="13"/>
  <c r="N21" i="21" s="1"/>
  <c r="N23" i="21" s="1"/>
  <c r="N25" i="21" s="1"/>
  <c r="O35" i="27"/>
  <c r="O26" i="3" s="1"/>
  <c r="O36" i="5"/>
  <c r="M25" i="6"/>
  <c r="N35" i="3"/>
  <c r="O32" i="7"/>
  <c r="O23" i="6"/>
  <c r="O25" i="6" s="1"/>
  <c r="O35" i="6"/>
  <c r="O22" i="7"/>
  <c r="O23" i="7" s="1"/>
  <c r="O21" i="10"/>
  <c r="O37" i="10"/>
  <c r="O32" i="10"/>
  <c r="O19" i="7"/>
  <c r="O20" i="6"/>
  <c r="N21" i="1"/>
  <c r="O9" i="3" s="1"/>
  <c r="M37" i="10"/>
  <c r="P23" i="8"/>
  <c r="N15" i="22" s="1"/>
  <c r="O15" i="22" s="1"/>
  <c r="P32" i="8"/>
  <c r="O55" i="9"/>
  <c r="O25" i="3" s="1"/>
  <c r="P18" i="8"/>
  <c r="N16" i="3"/>
  <c r="N42" i="3" s="1"/>
  <c r="N13" i="1"/>
  <c r="O8" i="3" s="1"/>
  <c r="N38" i="1"/>
  <c r="O10" i="3" s="1"/>
  <c r="N18" i="8"/>
  <c r="M32" i="7"/>
  <c r="N113" i="1"/>
  <c r="O15" i="3" s="1"/>
  <c r="L113" i="1"/>
  <c r="K34" i="7"/>
  <c r="K23" i="3" s="1"/>
  <c r="N23" i="8"/>
  <c r="M36" i="5"/>
  <c r="L13" i="21" s="1"/>
  <c r="L15" i="21" s="1"/>
  <c r="L10" i="22" s="1"/>
  <c r="N32" i="8"/>
  <c r="K37" i="6"/>
  <c r="K22" i="3" s="1"/>
  <c r="K20" i="27"/>
  <c r="K35" i="27" s="1"/>
  <c r="K26" i="3" s="1"/>
  <c r="M32" i="10"/>
  <c r="M35" i="6"/>
  <c r="M25" i="3"/>
  <c r="L21" i="22"/>
  <c r="M18" i="5"/>
  <c r="K12" i="3"/>
  <c r="L91" i="1"/>
  <c r="L79" i="1"/>
  <c r="L38" i="1"/>
  <c r="M10" i="3" s="1"/>
  <c r="L21" i="1"/>
  <c r="M9" i="3" s="1"/>
  <c r="L13" i="1"/>
  <c r="M41" i="13"/>
  <c r="M22" i="13"/>
  <c r="M57" i="13"/>
  <c r="M43" i="25"/>
  <c r="L19" i="22" s="1"/>
  <c r="M19" i="7"/>
  <c r="M20" i="6"/>
  <c r="K115" i="1"/>
  <c r="M17" i="25"/>
  <c r="M21" i="10"/>
  <c r="L46" i="8"/>
  <c r="K21" i="3" s="1"/>
  <c r="J34" i="7"/>
  <c r="J23" i="3" s="1"/>
  <c r="M38" i="25"/>
  <c r="L18" i="22" s="1"/>
  <c r="K32" i="26"/>
  <c r="K19" i="26"/>
  <c r="K36" i="5"/>
  <c r="J13" i="21" s="1"/>
  <c r="K30" i="5"/>
  <c r="K26" i="5"/>
  <c r="J12" i="21" s="1"/>
  <c r="K22" i="5"/>
  <c r="J11" i="21" s="1"/>
  <c r="K18" i="5"/>
  <c r="K49" i="25"/>
  <c r="K43" i="25"/>
  <c r="K38" i="25"/>
  <c r="J18" i="22" s="1"/>
  <c r="K27" i="25"/>
  <c r="K17" i="25"/>
  <c r="N17" i="22" l="1"/>
  <c r="O17" i="22" s="1"/>
  <c r="P46" i="8"/>
  <c r="O21" i="3" s="1"/>
  <c r="N14" i="22"/>
  <c r="O45" i="10"/>
  <c r="O24" i="3" s="1"/>
  <c r="O37" i="6"/>
  <c r="O22" i="3" s="1"/>
  <c r="L16" i="22"/>
  <c r="O34" i="7"/>
  <c r="O23" i="3" s="1"/>
  <c r="M45" i="10"/>
  <c r="M24" i="3" s="1"/>
  <c r="M37" i="6"/>
  <c r="M22" i="3" s="1"/>
  <c r="M34" i="7"/>
  <c r="M23" i="3" s="1"/>
  <c r="N46" i="8"/>
  <c r="O16" i="3"/>
  <c r="N9" i="22" s="1"/>
  <c r="M21" i="3"/>
  <c r="L15" i="22"/>
  <c r="M8" i="3"/>
  <c r="L115" i="1"/>
  <c r="N115" i="1"/>
  <c r="M15" i="3"/>
  <c r="L21" i="21"/>
  <c r="M12" i="3"/>
  <c r="K31" i="25"/>
  <c r="K51" i="25" s="1"/>
  <c r="J20" i="21" s="1"/>
  <c r="M27" i="25"/>
  <c r="M31" i="25" s="1"/>
  <c r="L20" i="21" s="1"/>
  <c r="K38" i="5"/>
  <c r="J10" i="21"/>
  <c r="K34" i="26"/>
  <c r="L22" i="21" s="1"/>
  <c r="L14" i="22"/>
  <c r="K5" i="3"/>
  <c r="K23" i="8"/>
  <c r="K39" i="8"/>
  <c r="K44" i="8"/>
  <c r="N23" i="22" l="1"/>
  <c r="N26" i="22" s="1"/>
  <c r="O14" i="22"/>
  <c r="O23" i="22" s="1"/>
  <c r="N11" i="22"/>
  <c r="N25" i="22" s="1"/>
  <c r="O9" i="22"/>
  <c r="O11" i="22" s="1"/>
  <c r="O35" i="3"/>
  <c r="O42" i="3" s="1"/>
  <c r="M35" i="3"/>
  <c r="M16" i="3"/>
  <c r="L9" i="22" s="1"/>
  <c r="L11" i="22" s="1"/>
  <c r="L25" i="22" s="1"/>
  <c r="L17" i="22"/>
  <c r="L23" i="22" s="1"/>
  <c r="L23" i="21"/>
  <c r="L25" i="21" s="1"/>
  <c r="K32" i="8"/>
  <c r="J5" i="25"/>
  <c r="J5" i="13" s="1"/>
  <c r="K5" i="5"/>
  <c r="K5" i="25" s="1"/>
  <c r="K5" i="13" s="1"/>
  <c r="I82" i="13"/>
  <c r="I108" i="1"/>
  <c r="N27" i="22" l="1"/>
  <c r="M42" i="3"/>
  <c r="L26" i="22"/>
  <c r="J27" i="25"/>
  <c r="L27" i="22" l="1"/>
  <c r="K18" i="8"/>
  <c r="J79" i="1"/>
  <c r="K46" i="8" l="1"/>
  <c r="J21" i="3" s="1"/>
  <c r="F92" i="13"/>
  <c r="J25" i="6" l="1"/>
  <c r="J47" i="9"/>
  <c r="J33" i="27"/>
  <c r="D33" i="27"/>
  <c r="C33" i="27"/>
  <c r="D30" i="27"/>
  <c r="C30" i="27"/>
  <c r="E27" i="27"/>
  <c r="E30" i="27" s="1"/>
  <c r="E35" i="27" s="1"/>
  <c r="D16" i="27"/>
  <c r="C16" i="27"/>
  <c r="D13" i="27"/>
  <c r="C13" i="27"/>
  <c r="E5" i="27"/>
  <c r="C20" i="27" l="1"/>
  <c r="C35" i="27" s="1"/>
  <c r="D20" i="27"/>
  <c r="D35" i="27" s="1"/>
  <c r="J30" i="27"/>
  <c r="E5" i="3"/>
  <c r="G5" i="3"/>
  <c r="H5" i="3"/>
  <c r="I5" i="3"/>
  <c r="I41" i="3"/>
  <c r="I13" i="1"/>
  <c r="I8" i="3" s="1"/>
  <c r="J13" i="1"/>
  <c r="I21" i="1"/>
  <c r="I9" i="3" s="1"/>
  <c r="J21" i="1"/>
  <c r="I38" i="1"/>
  <c r="I10" i="3" s="1"/>
  <c r="J38" i="1"/>
  <c r="J42" i="1"/>
  <c r="J20" i="27" l="1"/>
  <c r="J35" i="27" s="1"/>
  <c r="J26" i="3" s="1"/>
  <c r="J14" i="21"/>
  <c r="I32" i="26"/>
  <c r="J32" i="13"/>
  <c r="J77" i="13"/>
  <c r="K77" i="13" s="1"/>
  <c r="J73" i="13"/>
  <c r="K73" i="13" s="1"/>
  <c r="J68" i="13"/>
  <c r="K68" i="13" s="1"/>
  <c r="J61" i="13"/>
  <c r="K41" i="3"/>
  <c r="J10" i="3"/>
  <c r="J9" i="3"/>
  <c r="J8" i="3"/>
  <c r="K52" i="9"/>
  <c r="J40" i="10"/>
  <c r="J24" i="10"/>
  <c r="I35" i="6"/>
  <c r="J32" i="8"/>
  <c r="I20" i="22" l="1"/>
  <c r="K61" i="13"/>
  <c r="J20" i="22" s="1"/>
  <c r="K32" i="13"/>
  <c r="J15" i="22" s="1"/>
  <c r="J41" i="13"/>
  <c r="K41" i="13" s="1"/>
  <c r="J16" i="22" s="1"/>
  <c r="J43" i="10"/>
  <c r="K39" i="9"/>
  <c r="J19" i="22" s="1"/>
  <c r="K48" i="9"/>
  <c r="K34" i="9"/>
  <c r="J21" i="9"/>
  <c r="I79" i="1"/>
  <c r="J18" i="8"/>
  <c r="J37" i="10" l="1"/>
  <c r="I16" i="22" s="1"/>
  <c r="J21" i="10"/>
  <c r="J20" i="6"/>
  <c r="J32" i="10"/>
  <c r="J35" i="6"/>
  <c r="I19" i="26"/>
  <c r="K21" i="9"/>
  <c r="K55" i="9" s="1"/>
  <c r="K25" i="3" s="1"/>
  <c r="J91" i="1"/>
  <c r="I91" i="1"/>
  <c r="C91" i="1"/>
  <c r="H32" i="26"/>
  <c r="H23" i="26"/>
  <c r="H19" i="26"/>
  <c r="G32" i="26"/>
  <c r="G23" i="26"/>
  <c r="G19" i="26"/>
  <c r="I77" i="13"/>
  <c r="I73" i="13"/>
  <c r="I68" i="13"/>
  <c r="I61" i="13"/>
  <c r="H20" i="22" s="1"/>
  <c r="I57" i="13"/>
  <c r="I41" i="13"/>
  <c r="I32" i="13"/>
  <c r="J49" i="25"/>
  <c r="J43" i="25"/>
  <c r="J38" i="25"/>
  <c r="I18" i="22" s="1"/>
  <c r="J31" i="25"/>
  <c r="J17" i="25"/>
  <c r="I15" i="22" s="1"/>
  <c r="I49" i="25"/>
  <c r="I43" i="25"/>
  <c r="I38" i="25"/>
  <c r="H18" i="22" s="1"/>
  <c r="I31" i="25"/>
  <c r="I17" i="25"/>
  <c r="J36" i="5"/>
  <c r="I13" i="21" s="1"/>
  <c r="J30" i="5"/>
  <c r="I14" i="21" s="1"/>
  <c r="J26" i="5"/>
  <c r="I12" i="21" s="1"/>
  <c r="J22" i="5"/>
  <c r="I11" i="21" s="1"/>
  <c r="J18" i="5"/>
  <c r="I10" i="21" s="1"/>
  <c r="I36" i="5"/>
  <c r="H13" i="21" s="1"/>
  <c r="I30" i="5"/>
  <c r="H14" i="21" s="1"/>
  <c r="I26" i="5"/>
  <c r="H12" i="21" s="1"/>
  <c r="I22" i="5"/>
  <c r="H11" i="21" s="1"/>
  <c r="I18" i="5"/>
  <c r="J52" i="9"/>
  <c r="J48" i="9"/>
  <c r="I21" i="22" s="1"/>
  <c r="J39" i="9"/>
  <c r="J34" i="9"/>
  <c r="I52" i="9"/>
  <c r="I48" i="9"/>
  <c r="I39" i="9"/>
  <c r="I34" i="9"/>
  <c r="I21" i="9"/>
  <c r="I43" i="10"/>
  <c r="I37" i="10"/>
  <c r="I32" i="10"/>
  <c r="I21" i="10"/>
  <c r="I32" i="7"/>
  <c r="I23" i="7"/>
  <c r="I25" i="6"/>
  <c r="I20" i="6"/>
  <c r="J44" i="8"/>
  <c r="J39" i="8"/>
  <c r="J23" i="8"/>
  <c r="J46" i="8" s="1"/>
  <c r="I21" i="3" s="1"/>
  <c r="I96" i="1"/>
  <c r="I13" i="3" s="1"/>
  <c r="I113" i="1"/>
  <c r="I15" i="3" s="1"/>
  <c r="J96" i="1"/>
  <c r="J103" i="1"/>
  <c r="J14" i="3" s="1"/>
  <c r="J113" i="1"/>
  <c r="J15" i="3" s="1"/>
  <c r="J41" i="3"/>
  <c r="J11" i="3"/>
  <c r="I15" i="21" l="1"/>
  <c r="I10" i="22" s="1"/>
  <c r="I17" i="22"/>
  <c r="I19" i="22"/>
  <c r="I34" i="26"/>
  <c r="J22" i="21" s="1"/>
  <c r="J22" i="13"/>
  <c r="H16" i="22"/>
  <c r="H19" i="22"/>
  <c r="J45" i="10"/>
  <c r="J24" i="3" s="1"/>
  <c r="H15" i="22"/>
  <c r="H17" i="22"/>
  <c r="J37" i="6"/>
  <c r="J22" i="3" s="1"/>
  <c r="I115" i="1"/>
  <c r="I12" i="3"/>
  <c r="I16" i="3" s="1"/>
  <c r="K14" i="3"/>
  <c r="J12" i="3"/>
  <c r="J16" i="3" s="1"/>
  <c r="J115" i="1"/>
  <c r="K11" i="3"/>
  <c r="H21" i="22"/>
  <c r="H34" i="26"/>
  <c r="I22" i="21" s="1"/>
  <c r="G34" i="26"/>
  <c r="H22" i="21" s="1"/>
  <c r="J55" i="9"/>
  <c r="J25" i="3" s="1"/>
  <c r="I45" i="10"/>
  <c r="I24" i="3" s="1"/>
  <c r="J51" i="25"/>
  <c r="I20" i="21" s="1"/>
  <c r="I37" i="6"/>
  <c r="I22" i="3" s="1"/>
  <c r="I22" i="13"/>
  <c r="I84" i="13" s="1"/>
  <c r="H21" i="21" s="1"/>
  <c r="I51" i="25"/>
  <c r="H20" i="21" s="1"/>
  <c r="J38" i="5"/>
  <c r="I38" i="5"/>
  <c r="H10" i="21"/>
  <c r="H15" i="21" s="1"/>
  <c r="H10" i="22" s="1"/>
  <c r="I55" i="9"/>
  <c r="I25" i="3" s="1"/>
  <c r="I19" i="7"/>
  <c r="I34" i="7" s="1"/>
  <c r="I23" i="3" s="1"/>
  <c r="I5" i="5"/>
  <c r="H5" i="5"/>
  <c r="G5" i="5"/>
  <c r="F5" i="5"/>
  <c r="E5" i="9"/>
  <c r="E5" i="10"/>
  <c r="E5" i="7"/>
  <c r="E5" i="6"/>
  <c r="A3" i="3"/>
  <c r="A3" i="1" s="1"/>
  <c r="A3" i="8" s="1"/>
  <c r="A3" i="6" s="1"/>
  <c r="A3" i="7" s="1"/>
  <c r="A3" i="10" s="1"/>
  <c r="I5" i="1"/>
  <c r="H5" i="1"/>
  <c r="G5" i="1"/>
  <c r="F5" i="1"/>
  <c r="J45" i="3"/>
  <c r="J5" i="3"/>
  <c r="D18" i="22"/>
  <c r="I9" i="22" l="1"/>
  <c r="I11" i="22" s="1"/>
  <c r="I25" i="22" s="1"/>
  <c r="J84" i="13"/>
  <c r="I21" i="21" s="1"/>
  <c r="I23" i="21" s="1"/>
  <c r="I25" i="21" s="1"/>
  <c r="K22" i="13"/>
  <c r="I14" i="22"/>
  <c r="J35" i="3"/>
  <c r="J42" i="3" s="1"/>
  <c r="J15" i="21"/>
  <c r="J10" i="22" s="1"/>
  <c r="H14" i="22"/>
  <c r="H23" i="22" s="1"/>
  <c r="H26" i="22" s="1"/>
  <c r="H9" i="22"/>
  <c r="H11" i="22" s="1"/>
  <c r="I17" i="3"/>
  <c r="K16" i="3"/>
  <c r="G5" i="9"/>
  <c r="G5" i="27"/>
  <c r="H5" i="13"/>
  <c r="H5" i="27"/>
  <c r="J5" i="8"/>
  <c r="I5" i="27"/>
  <c r="F5" i="6"/>
  <c r="F5" i="27"/>
  <c r="I35" i="3"/>
  <c r="I42" i="3" s="1"/>
  <c r="A3" i="9"/>
  <c r="A3" i="21" s="1"/>
  <c r="A3" i="5" s="1"/>
  <c r="A3" i="25" s="1"/>
  <c r="A3" i="13" s="1"/>
  <c r="A3" i="26" s="1"/>
  <c r="A3" i="27"/>
  <c r="H23" i="21"/>
  <c r="H25" i="21" s="1"/>
  <c r="F5" i="13"/>
  <c r="H5" i="8"/>
  <c r="G5" i="6"/>
  <c r="I5" i="10"/>
  <c r="I5" i="9"/>
  <c r="G5" i="25"/>
  <c r="G5" i="13"/>
  <c r="F5" i="26"/>
  <c r="F5" i="25"/>
  <c r="I5" i="6"/>
  <c r="H5" i="25"/>
  <c r="G5" i="26"/>
  <c r="I5" i="25"/>
  <c r="I5" i="13"/>
  <c r="H5" i="7"/>
  <c r="F5" i="10"/>
  <c r="H5" i="10"/>
  <c r="F5" i="8"/>
  <c r="H5" i="6"/>
  <c r="I5" i="7"/>
  <c r="G5" i="10"/>
  <c r="F5" i="7"/>
  <c r="F5" i="9"/>
  <c r="H5" i="9"/>
  <c r="G5" i="7"/>
  <c r="J9" i="22" l="1"/>
  <c r="K84" i="13"/>
  <c r="J21" i="21" s="1"/>
  <c r="J23" i="21" s="1"/>
  <c r="J25" i="21" s="1"/>
  <c r="J14" i="22"/>
  <c r="H25" i="22"/>
  <c r="H27" i="22" s="1"/>
  <c r="J43" i="3"/>
  <c r="J44" i="3" s="1"/>
  <c r="I23" i="22"/>
  <c r="I26" i="22" s="1"/>
  <c r="I27" i="22" s="1"/>
  <c r="J11" i="22" l="1"/>
  <c r="J25" i="22" s="1"/>
  <c r="O25" i="22" s="1"/>
  <c r="J46" i="3"/>
  <c r="E82" i="13" l="1"/>
  <c r="E61" i="13"/>
  <c r="E41" i="13"/>
  <c r="E32" i="13"/>
  <c r="E22" i="13"/>
  <c r="D14" i="22" s="1"/>
  <c r="E20" i="25"/>
  <c r="E50" i="13"/>
  <c r="E44" i="13"/>
  <c r="D55" i="13"/>
  <c r="E55" i="13"/>
  <c r="E23" i="25"/>
  <c r="E21" i="25"/>
  <c r="E12" i="25"/>
  <c r="E13" i="25"/>
  <c r="E49" i="25"/>
  <c r="E43" i="25"/>
  <c r="E38" i="25"/>
  <c r="E36" i="5"/>
  <c r="D13" i="21" s="1"/>
  <c r="E26" i="5"/>
  <c r="D12" i="21" s="1"/>
  <c r="E18" i="5"/>
  <c r="D10" i="21" s="1"/>
  <c r="E22" i="5"/>
  <c r="D11" i="21" s="1"/>
  <c r="E48" i="9"/>
  <c r="E39" i="9"/>
  <c r="D19" i="22" s="1"/>
  <c r="E37" i="10"/>
  <c r="E23" i="7"/>
  <c r="E34" i="7" s="1"/>
  <c r="D23" i="3" s="1"/>
  <c r="E25" i="6"/>
  <c r="E32" i="8"/>
  <c r="E23" i="8"/>
  <c r="E25" i="10"/>
  <c r="E28" i="10"/>
  <c r="E30" i="9"/>
  <c r="E34" i="9" s="1"/>
  <c r="E22" i="25"/>
  <c r="E38" i="1"/>
  <c r="D10" i="3" s="1"/>
  <c r="E113" i="1"/>
  <c r="D15" i="3" s="1"/>
  <c r="E96" i="1"/>
  <c r="D13" i="3" s="1"/>
  <c r="E79" i="1"/>
  <c r="D5" i="3"/>
  <c r="E20" i="1"/>
  <c r="E21" i="1" s="1"/>
  <c r="D9" i="3" s="1"/>
  <c r="E13" i="1"/>
  <c r="D8" i="3" s="1"/>
  <c r="E5" i="8"/>
  <c r="E32" i="10" l="1"/>
  <c r="E45" i="10" s="1"/>
  <c r="D24" i="3" s="1"/>
  <c r="D21" i="22"/>
  <c r="D12" i="3"/>
  <c r="D16" i="3" s="1"/>
  <c r="E91" i="1"/>
  <c r="D5" i="21"/>
  <c r="E37" i="6"/>
  <c r="D22" i="3" s="1"/>
  <c r="E46" i="8"/>
  <c r="D21" i="3" s="1"/>
  <c r="E17" i="25"/>
  <c r="E31" i="25"/>
  <c r="D15" i="21"/>
  <c r="E38" i="5"/>
  <c r="D10" i="22" s="1"/>
  <c r="E57" i="13"/>
  <c r="E84" i="13" s="1"/>
  <c r="D21" i="21" s="1"/>
  <c r="E55" i="9"/>
  <c r="D25" i="3" s="1"/>
  <c r="E115" i="1"/>
  <c r="D9" i="22" s="1"/>
  <c r="C23" i="21"/>
  <c r="C23" i="26"/>
  <c r="D23" i="26"/>
  <c r="D32" i="26"/>
  <c r="C32" i="26"/>
  <c r="D19" i="26"/>
  <c r="C16" i="26"/>
  <c r="C15" i="26"/>
  <c r="C13" i="26"/>
  <c r="E51" i="25" l="1"/>
  <c r="D20" i="21" s="1"/>
  <c r="D11" i="22"/>
  <c r="D25" i="22" s="1"/>
  <c r="E5" i="5"/>
  <c r="E5" i="25" s="1"/>
  <c r="D35" i="3"/>
  <c r="D42" i="3" s="1"/>
  <c r="C19" i="26"/>
  <c r="C34" i="26" s="1"/>
  <c r="D23" i="21"/>
  <c r="D25" i="21" s="1"/>
  <c r="D34" i="26"/>
  <c r="D31" i="25"/>
  <c r="C39" i="8"/>
  <c r="D39" i="8"/>
  <c r="C44" i="8"/>
  <c r="D44" i="8"/>
  <c r="D79" i="1"/>
  <c r="D91" i="1" s="1"/>
  <c r="E5" i="13" l="1"/>
  <c r="E5" i="26"/>
  <c r="B25" i="3"/>
  <c r="D43" i="25" l="1"/>
  <c r="C43" i="25"/>
  <c r="C31" i="25"/>
  <c r="D36" i="5"/>
  <c r="D28" i="24"/>
  <c r="C28" i="24"/>
  <c r="E27" i="21" l="1"/>
  <c r="D22" i="13"/>
  <c r="D17" i="25"/>
  <c r="D38" i="25"/>
  <c r="C38" i="25"/>
  <c r="D49" i="25"/>
  <c r="C49" i="25"/>
  <c r="C17" i="25"/>
  <c r="G12" i="11"/>
  <c r="G8" i="11"/>
  <c r="G14" i="11" s="1"/>
  <c r="G8" i="15"/>
  <c r="G10" i="15" s="1"/>
  <c r="G8" i="19"/>
  <c r="G10" i="19" s="1"/>
  <c r="G8" i="17"/>
  <c r="G10" i="17" s="1"/>
  <c r="G8" i="18"/>
  <c r="G10" i="18" s="1"/>
  <c r="G8" i="20"/>
  <c r="G10" i="20" s="1"/>
  <c r="G12" i="12"/>
  <c r="G8" i="12"/>
  <c r="G14" i="12" s="1"/>
  <c r="G11" i="16"/>
  <c r="G12" i="16" s="1"/>
  <c r="G8" i="16"/>
  <c r="I5" i="8"/>
  <c r="C21" i="24"/>
  <c r="G8" i="24"/>
  <c r="G21" i="24" s="1"/>
  <c r="G16" i="24" l="1"/>
  <c r="G15" i="24"/>
  <c r="G11" i="24"/>
  <c r="G10" i="24"/>
  <c r="G13" i="24"/>
  <c r="G12" i="24"/>
  <c r="D51" i="25"/>
  <c r="C51" i="25"/>
  <c r="G14" i="24"/>
  <c r="G17" i="24"/>
  <c r="G14" i="16"/>
  <c r="G26" i="21" l="1"/>
  <c r="G1" i="20"/>
  <c r="G1" i="11"/>
  <c r="G1" i="16"/>
  <c r="G1" i="15"/>
  <c r="G1" i="17"/>
  <c r="G1" i="19"/>
  <c r="G1" i="18"/>
  <c r="G1" i="12"/>
  <c r="B20" i="21"/>
  <c r="G5" i="24"/>
  <c r="G4" i="24"/>
  <c r="G9" i="24"/>
  <c r="G18" i="24" s="1"/>
  <c r="G23" i="24" s="1"/>
  <c r="G6" i="24" l="1"/>
  <c r="G22" i="24" s="1"/>
  <c r="G24" i="24" s="1"/>
  <c r="G27" i="24" s="1"/>
  <c r="G26" i="24"/>
  <c r="G28" i="21"/>
  <c r="D37" i="10"/>
  <c r="C37" i="10"/>
  <c r="D18" i="5"/>
  <c r="C18" i="5"/>
  <c r="H43" i="3" l="1"/>
  <c r="D18" i="24"/>
  <c r="D23" i="24" s="1"/>
  <c r="D6" i="24"/>
  <c r="D22" i="24" s="1"/>
  <c r="H44" i="3" l="1"/>
  <c r="G25" i="24"/>
  <c r="D24" i="24"/>
  <c r="D23" i="8" l="1"/>
  <c r="C23" i="8"/>
  <c r="D30" i="5" l="1"/>
  <c r="C30" i="5"/>
  <c r="D52" i="9"/>
  <c r="C52" i="9"/>
  <c r="D96" i="1"/>
  <c r="C13" i="3" s="1"/>
  <c r="C96" i="1"/>
  <c r="B13" i="3" s="1"/>
  <c r="D57" i="13"/>
  <c r="C47" i="13" l="1"/>
  <c r="E16" i="24" l="1"/>
  <c r="D77" i="13" l="1"/>
  <c r="C77" i="13"/>
  <c r="D34" i="9"/>
  <c r="C34" i="9"/>
  <c r="C57" i="13"/>
  <c r="D61" i="13"/>
  <c r="C61" i="13"/>
  <c r="C32" i="13"/>
  <c r="C41" i="13"/>
  <c r="D32" i="13"/>
  <c r="D41" i="13"/>
  <c r="E17" i="24" l="1"/>
  <c r="F17" i="24" l="1"/>
  <c r="E4" i="24"/>
  <c r="D73" i="13"/>
  <c r="C73" i="13"/>
  <c r="D68" i="13"/>
  <c r="C13" i="24" s="1"/>
  <c r="C68" i="13"/>
  <c r="D32" i="8"/>
  <c r="C32" i="8"/>
  <c r="E11" i="16"/>
  <c r="B18" i="22" l="1"/>
  <c r="B13" i="24"/>
  <c r="E13" i="24"/>
  <c r="E14" i="24"/>
  <c r="F4" i="24"/>
  <c r="D48" i="9"/>
  <c r="C48" i="9"/>
  <c r="D13" i="10" l="1"/>
  <c r="D21" i="10" s="1"/>
  <c r="D82" i="13" l="1"/>
  <c r="C82" i="13"/>
  <c r="C36" i="5"/>
  <c r="B13" i="21" s="1"/>
  <c r="D26" i="5"/>
  <c r="C12" i="21" s="1"/>
  <c r="C26" i="5"/>
  <c r="B12" i="21" s="1"/>
  <c r="B10" i="21"/>
  <c r="D22" i="5"/>
  <c r="C11" i="21" s="1"/>
  <c r="C22" i="5"/>
  <c r="B11" i="21" s="1"/>
  <c r="D43" i="10"/>
  <c r="C43" i="10"/>
  <c r="D32" i="10"/>
  <c r="C32" i="10"/>
  <c r="D8" i="20"/>
  <c r="C8" i="20"/>
  <c r="E8" i="20"/>
  <c r="E8" i="19"/>
  <c r="E10" i="19" s="1"/>
  <c r="D8" i="19"/>
  <c r="D10" i="19" s="1"/>
  <c r="C8" i="19"/>
  <c r="C10" i="19" s="1"/>
  <c r="B29" i="3" s="1"/>
  <c r="E8" i="18"/>
  <c r="E10" i="18" s="1"/>
  <c r="D8" i="18"/>
  <c r="D10" i="18" s="1"/>
  <c r="C8" i="18"/>
  <c r="C10" i="18" s="1"/>
  <c r="B31" i="3" s="1"/>
  <c r="E8" i="17"/>
  <c r="E10" i="17" s="1"/>
  <c r="D8" i="17"/>
  <c r="D10" i="17" s="1"/>
  <c r="C8" i="17"/>
  <c r="C10" i="17" s="1"/>
  <c r="B30" i="3" s="1"/>
  <c r="E12" i="16"/>
  <c r="D12" i="16"/>
  <c r="C12" i="16"/>
  <c r="E8" i="16"/>
  <c r="D8" i="16"/>
  <c r="C8" i="16"/>
  <c r="E8" i="15"/>
  <c r="D8" i="15"/>
  <c r="D10" i="15" s="1"/>
  <c r="C8" i="15"/>
  <c r="C10" i="15" s="1"/>
  <c r="B28" i="3" s="1"/>
  <c r="C13" i="13"/>
  <c r="C22" i="13" s="1"/>
  <c r="C12" i="8"/>
  <c r="C17" i="24" l="1"/>
  <c r="C14" i="16"/>
  <c r="B40" i="3" s="1"/>
  <c r="B34" i="3"/>
  <c r="B17" i="24"/>
  <c r="E10" i="20"/>
  <c r="C10" i="20"/>
  <c r="B32" i="3" s="1"/>
  <c r="D10" i="20"/>
  <c r="B21" i="22"/>
  <c r="C21" i="22"/>
  <c r="C23" i="22" s="1"/>
  <c r="C26" i="22" s="1"/>
  <c r="C84" i="13"/>
  <c r="C10" i="21"/>
  <c r="E10" i="15"/>
  <c r="B15" i="21"/>
  <c r="C38" i="5"/>
  <c r="E14" i="16"/>
  <c r="D14" i="16"/>
  <c r="B5" i="24" l="1"/>
  <c r="B10" i="22"/>
  <c r="B21" i="21"/>
  <c r="D84" i="13"/>
  <c r="B23" i="21" l="1"/>
  <c r="B25" i="21" s="1"/>
  <c r="E12" i="12"/>
  <c r="D16" i="22" s="1"/>
  <c r="D12" i="12"/>
  <c r="C12" i="12"/>
  <c r="E8" i="12"/>
  <c r="D8" i="12"/>
  <c r="C8" i="12"/>
  <c r="B33" i="3" s="1"/>
  <c r="E12" i="11"/>
  <c r="D15" i="22" s="1"/>
  <c r="D12" i="11"/>
  <c r="C12" i="11"/>
  <c r="E8" i="11"/>
  <c r="D8" i="11"/>
  <c r="C8" i="11"/>
  <c r="C16" i="10"/>
  <c r="C13" i="10"/>
  <c r="C39" i="9"/>
  <c r="D39" i="9"/>
  <c r="D17" i="9"/>
  <c r="C17" i="9"/>
  <c r="D14" i="9"/>
  <c r="C14" i="9"/>
  <c r="D17" i="22" l="1"/>
  <c r="D23" i="22" s="1"/>
  <c r="D26" i="22" s="1"/>
  <c r="D27" i="22" s="1"/>
  <c r="C14" i="11"/>
  <c r="B27" i="3" s="1"/>
  <c r="E10" i="24"/>
  <c r="F10" i="24" s="1"/>
  <c r="E12" i="24"/>
  <c r="C11" i="24"/>
  <c r="B11" i="24"/>
  <c r="B16" i="22"/>
  <c r="E11" i="24"/>
  <c r="F11" i="24" s="1"/>
  <c r="C14" i="24"/>
  <c r="B19" i="22"/>
  <c r="B14" i="24"/>
  <c r="D14" i="11"/>
  <c r="E14" i="11"/>
  <c r="C14" i="12"/>
  <c r="B39" i="3" s="1"/>
  <c r="E14" i="12"/>
  <c r="D14" i="12"/>
  <c r="D45" i="10"/>
  <c r="C24" i="3" s="1"/>
  <c r="C21" i="10"/>
  <c r="C45" i="10" s="1"/>
  <c r="B24" i="3" s="1"/>
  <c r="D21" i="9"/>
  <c r="D18" i="8"/>
  <c r="D46" i="8" s="1"/>
  <c r="C21" i="3" s="1"/>
  <c r="C15" i="8"/>
  <c r="D32" i="7"/>
  <c r="C32" i="7"/>
  <c r="D23" i="7"/>
  <c r="C23" i="7"/>
  <c r="D16" i="7"/>
  <c r="D19" i="7" s="1"/>
  <c r="C16" i="7"/>
  <c r="C15" i="7"/>
  <c r="C13" i="7"/>
  <c r="D25" i="6"/>
  <c r="C25" i="6"/>
  <c r="C14" i="6"/>
  <c r="C17" i="6"/>
  <c r="D17" i="6"/>
  <c r="D20" i="6" s="1"/>
  <c r="C16" i="6"/>
  <c r="D35" i="6"/>
  <c r="C35" i="6"/>
  <c r="B17" i="22" l="1"/>
  <c r="B12" i="24"/>
  <c r="C12" i="24"/>
  <c r="B10" i="24"/>
  <c r="B15" i="22"/>
  <c r="C10" i="24"/>
  <c r="F18" i="24"/>
  <c r="C9" i="24"/>
  <c r="D55" i="9"/>
  <c r="C25" i="3" s="1"/>
  <c r="C19" i="7"/>
  <c r="C34" i="7" s="1"/>
  <c r="B23" i="3" s="1"/>
  <c r="D37" i="6"/>
  <c r="C22" i="3" s="1"/>
  <c r="D34" i="7"/>
  <c r="C23" i="3" s="1"/>
  <c r="C21" i="9"/>
  <c r="C18" i="8"/>
  <c r="C46" i="8" s="1"/>
  <c r="B21" i="3" s="1"/>
  <c r="C20" i="6"/>
  <c r="C12" i="3"/>
  <c r="C79" i="1"/>
  <c r="B12" i="3" s="1"/>
  <c r="D113" i="1"/>
  <c r="C15" i="3" s="1"/>
  <c r="C113" i="1"/>
  <c r="B15" i="3" s="1"/>
  <c r="D103" i="1"/>
  <c r="C14" i="3" s="1"/>
  <c r="C103" i="1"/>
  <c r="B14" i="3" s="1"/>
  <c r="D42" i="1"/>
  <c r="C11" i="3" s="1"/>
  <c r="C42" i="1"/>
  <c r="B11" i="3" s="1"/>
  <c r="D38" i="1"/>
  <c r="C10" i="3" s="1"/>
  <c r="C38" i="1"/>
  <c r="B10" i="3" s="1"/>
  <c r="D21" i="1"/>
  <c r="C9" i="3" s="1"/>
  <c r="C21" i="1"/>
  <c r="B9" i="3" s="1"/>
  <c r="D13" i="1"/>
  <c r="C8" i="3" s="1"/>
  <c r="C13" i="1"/>
  <c r="B8" i="3" s="1"/>
  <c r="C35" i="3" l="1"/>
  <c r="C18" i="24"/>
  <c r="C23" i="24" s="1"/>
  <c r="E9" i="24"/>
  <c r="E18" i="24" s="1"/>
  <c r="E23" i="24" s="1"/>
  <c r="B14" i="22"/>
  <c r="B23" i="22" s="1"/>
  <c r="B26" i="22" s="1"/>
  <c r="B9" i="24"/>
  <c r="B18" i="24" s="1"/>
  <c r="C41" i="3"/>
  <c r="C37" i="6"/>
  <c r="B22" i="3" s="1"/>
  <c r="C55" i="9"/>
  <c r="B16" i="3"/>
  <c r="C16" i="3"/>
  <c r="C115" i="1"/>
  <c r="D115" i="1"/>
  <c r="C42" i="3" l="1"/>
  <c r="C43" i="3" s="1"/>
  <c r="C46" i="3" s="1"/>
  <c r="E45" i="3" s="1"/>
  <c r="B9" i="22"/>
  <c r="B11" i="22" s="1"/>
  <c r="B25" i="22" s="1"/>
  <c r="B27" i="22" s="1"/>
  <c r="B4" i="24"/>
  <c r="B6" i="24" s="1"/>
  <c r="C9" i="22"/>
  <c r="C4" i="24"/>
  <c r="F23" i="24"/>
  <c r="B38" i="3"/>
  <c r="B41" i="3" s="1"/>
  <c r="B35" i="3"/>
  <c r="E43" i="3" l="1"/>
  <c r="B42" i="3"/>
  <c r="B43" i="3" s="1"/>
  <c r="C13" i="21"/>
  <c r="C15" i="21" s="1"/>
  <c r="C25" i="21" s="1"/>
  <c r="D38" i="5"/>
  <c r="C10" i="22" s="1"/>
  <c r="C11" i="22" s="1"/>
  <c r="C25" i="22" s="1"/>
  <c r="C27" i="22" s="1"/>
  <c r="E25" i="24" l="1"/>
  <c r="E46" i="3"/>
  <c r="H45" i="3" s="1"/>
  <c r="H46" i="3" s="1"/>
  <c r="E44" i="3"/>
  <c r="C5" i="24"/>
  <c r="C6" i="24" s="1"/>
  <c r="C22" i="24" s="1"/>
  <c r="C24" i="24" s="1"/>
  <c r="E28" i="21"/>
  <c r="G27" i="21" s="1"/>
  <c r="E5" i="24"/>
  <c r="E6" i="24" l="1"/>
  <c r="F5" i="24"/>
  <c r="E26" i="24"/>
  <c r="E28" i="24" s="1"/>
  <c r="E22" i="24" l="1"/>
  <c r="F6" i="24"/>
  <c r="E24" i="24" l="1"/>
  <c r="F22" i="24"/>
  <c r="K24" i="10"/>
  <c r="K32" i="10"/>
  <c r="J17" i="22" l="1"/>
  <c r="K40" i="10"/>
  <c r="K43" i="10"/>
  <c r="K45" i="10" s="1"/>
  <c r="K24" i="3" s="1"/>
  <c r="K35" i="3" s="1"/>
  <c r="K42" i="3" s="1"/>
  <c r="J21" i="22" l="1"/>
  <c r="J23" i="22" l="1"/>
  <c r="J26" i="22" l="1"/>
  <c r="O26" i="22" s="1"/>
  <c r="J27" i="22" l="1"/>
</calcChain>
</file>

<file path=xl/comments1.xml><?xml version="1.0" encoding="utf-8"?>
<comments xmlns="http://schemas.openxmlformats.org/spreadsheetml/2006/main">
  <authors>
    <author>Maria Hernandez</author>
    <author>Brenda Keeton</author>
  </authors>
  <commentList>
    <comment ref="J17" authorId="0" shapeId="0">
      <text>
        <r>
          <rPr>
            <b/>
            <sz val="9"/>
            <color indexed="81"/>
            <rFont val="Tahoma"/>
            <family val="2"/>
          </rPr>
          <t>Maria Hernandez:</t>
        </r>
        <r>
          <rPr>
            <sz val="9"/>
            <color indexed="81"/>
            <rFont val="Tahoma"/>
            <family val="2"/>
          </rPr>
          <t xml:space="preserve">
for two full time officers</t>
        </r>
      </text>
    </comment>
    <comment ref="J28" authorId="1" shapeId="0">
      <text>
        <r>
          <rPr>
            <b/>
            <sz val="9"/>
            <color indexed="81"/>
            <rFont val="Tahoma"/>
            <family val="2"/>
          </rPr>
          <t>Brenda Keeton:</t>
        </r>
        <r>
          <rPr>
            <sz val="9"/>
            <color indexed="81"/>
            <rFont val="Tahoma"/>
            <family val="2"/>
          </rPr>
          <t xml:space="preserve">
decreased amount to $4500 per council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Maria Hernandez:</t>
        </r>
        <r>
          <rPr>
            <sz val="9"/>
            <color indexed="81"/>
            <rFont val="Tahoma"/>
            <family val="2"/>
          </rPr>
          <t xml:space="preserve">
+ $2,040.00 for Radios</t>
        </r>
      </text>
    </comment>
  </commentList>
</comments>
</file>

<file path=xl/comments2.xml><?xml version="1.0" encoding="utf-8"?>
<comments xmlns="http://schemas.openxmlformats.org/spreadsheetml/2006/main">
  <authors>
    <author>Maria Hernandez</author>
  </authors>
  <commentList>
    <comment ref="J24" authorId="0" shapeId="0">
      <text>
        <r>
          <rPr>
            <b/>
            <sz val="9"/>
            <color indexed="81"/>
            <rFont val="Tahoma"/>
            <family val="2"/>
          </rPr>
          <t>Maria Hernandez:</t>
        </r>
        <r>
          <rPr>
            <sz val="9"/>
            <color indexed="81"/>
            <rFont val="Tahoma"/>
            <family val="2"/>
          </rPr>
          <t xml:space="preserve">
$1000 was added for the Northeast Partnership membership fee.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Maria Hernandez:</t>
        </r>
        <r>
          <rPr>
            <sz val="9"/>
            <color indexed="81"/>
            <rFont val="Tahoma"/>
            <family val="2"/>
          </rPr>
          <t xml:space="preserve">
$1000 was added for the Northeast Partnership membership fee.</t>
        </r>
      </text>
    </comment>
  </commentList>
</comments>
</file>

<file path=xl/comments3.xml><?xml version="1.0" encoding="utf-8"?>
<comments xmlns="http://schemas.openxmlformats.org/spreadsheetml/2006/main">
  <authors>
    <author>Maria Hernandez</author>
  </authors>
  <commentList>
    <comment ref="H30" authorId="0" shapeId="0">
      <text>
        <r>
          <rPr>
            <b/>
            <sz val="9"/>
            <color indexed="81"/>
            <rFont val="Tahoma"/>
            <family val="2"/>
          </rPr>
          <t>Maria Hernandez:</t>
        </r>
        <r>
          <rPr>
            <sz val="9"/>
            <color indexed="81"/>
            <rFont val="Tahoma"/>
            <family val="2"/>
          </rPr>
          <t xml:space="preserve">
In hance- Utility Software</t>
        </r>
      </text>
    </comment>
  </commentList>
</comments>
</file>

<file path=xl/sharedStrings.xml><?xml version="1.0" encoding="utf-8"?>
<sst xmlns="http://schemas.openxmlformats.org/spreadsheetml/2006/main" count="1173" uniqueCount="707">
  <si>
    <t>REVENUES - ALL FUNDS</t>
  </si>
  <si>
    <t>2017-18 ACTUAL</t>
  </si>
  <si>
    <t>2018-19 BUDGET</t>
  </si>
  <si>
    <t>2019-20 BUDGET</t>
  </si>
  <si>
    <t>2020-21 BUDGET</t>
  </si>
  <si>
    <t>General Revenues</t>
  </si>
  <si>
    <t>Utility Revenues</t>
  </si>
  <si>
    <t>TOTAL</t>
  </si>
  <si>
    <t>EXPENDITURES - ALL FUNDS</t>
  </si>
  <si>
    <t>Personnel Expenses</t>
  </si>
  <si>
    <t>Professional Services</t>
  </si>
  <si>
    <t>Contractual Services</t>
  </si>
  <si>
    <t>Operations &amp; Support/Supplies</t>
  </si>
  <si>
    <t>Utility Services</t>
  </si>
  <si>
    <t>Rental/Lease Payments</t>
  </si>
  <si>
    <t>Regulatory</t>
  </si>
  <si>
    <t>Capital Outlays</t>
  </si>
  <si>
    <t>Debt Services</t>
  </si>
  <si>
    <t>TOTAL REVENUE</t>
  </si>
  <si>
    <t>TOTAL EXPENSES</t>
  </si>
  <si>
    <t>REVENUES</t>
  </si>
  <si>
    <t>2019-20 APPROVED</t>
  </si>
  <si>
    <t>2019-20 AMEND #1</t>
  </si>
  <si>
    <t>VARIANCE</t>
  </si>
  <si>
    <t>General Fund</t>
  </si>
  <si>
    <t>Utility Fund</t>
  </si>
  <si>
    <t>EXPENDITURES</t>
  </si>
  <si>
    <t>2019-20        AMEND #1</t>
  </si>
  <si>
    <t>Inter-Fund Transfers</t>
  </si>
  <si>
    <t>NET</t>
  </si>
  <si>
    <t>General Reserve Funding/Over/Under</t>
  </si>
  <si>
    <t>Utility Reserve Funding/Over/Under</t>
  </si>
  <si>
    <t>Total Reserve Funding</t>
  </si>
  <si>
    <t>101 GENERAL FUND</t>
  </si>
  <si>
    <t>FINANCIAL SUMMARY</t>
  </si>
  <si>
    <t>REVENUE SUMMARY</t>
  </si>
  <si>
    <t>Taxes</t>
  </si>
  <si>
    <t>Franchises</t>
  </si>
  <si>
    <t>Permits</t>
  </si>
  <si>
    <t>Licenses</t>
  </si>
  <si>
    <t>Fines and Fees</t>
  </si>
  <si>
    <t>Interlocal</t>
  </si>
  <si>
    <t>Miscellaneous</t>
  </si>
  <si>
    <t>TOTAL REVENUES</t>
  </si>
  <si>
    <t>EXPENDITURE SUMMARY</t>
  </si>
  <si>
    <t>GENERAL GOVERNMENT</t>
  </si>
  <si>
    <t>City Secretary</t>
  </si>
  <si>
    <t>Municipal Court Clerk</t>
  </si>
  <si>
    <t>Permitting Clerk</t>
  </si>
  <si>
    <t>Streets/Drainage</t>
  </si>
  <si>
    <t>Police</t>
  </si>
  <si>
    <t>Legal Services</t>
  </si>
  <si>
    <t>Engineering Services</t>
  </si>
  <si>
    <t>Auditor</t>
  </si>
  <si>
    <t>GCAD</t>
  </si>
  <si>
    <t>GCTA</t>
  </si>
  <si>
    <t>MCLA</t>
  </si>
  <si>
    <t>MVFD</t>
  </si>
  <si>
    <t>SAFES</t>
  </si>
  <si>
    <t>TOTAL EXPENDITURES</t>
  </si>
  <si>
    <t>PUBLIC SAFETY</t>
  </si>
  <si>
    <t>TOTAL PUBLIC SAFETY</t>
  </si>
  <si>
    <t>OVER/UNDER</t>
  </si>
  <si>
    <t>FUNDING FROM RESERVES</t>
  </si>
  <si>
    <t>BEGINNING FUND EQUITY</t>
  </si>
  <si>
    <t>ENDING FUND EQUITY</t>
  </si>
  <si>
    <t>2018-19 ACTUAL</t>
  </si>
  <si>
    <t>000-5050</t>
  </si>
  <si>
    <t>Ad Valorem Tax - Current</t>
  </si>
  <si>
    <t>000-5051</t>
  </si>
  <si>
    <t>Ad Valorem tax - Delinquent</t>
  </si>
  <si>
    <t>000-5052</t>
  </si>
  <si>
    <t>Ad Valorem Tax - P&amp;I</t>
  </si>
  <si>
    <t>000-5053</t>
  </si>
  <si>
    <t>Sales Tax Revenue GF</t>
  </si>
  <si>
    <t>000-5054</t>
  </si>
  <si>
    <t>Mixed Beverage</t>
  </si>
  <si>
    <t>Total Taxes</t>
  </si>
  <si>
    <t>000-5100</t>
  </si>
  <si>
    <t>GVEC Electric</t>
  </si>
  <si>
    <t>000-5101</t>
  </si>
  <si>
    <t>CenterPoint</t>
  </si>
  <si>
    <t>000-5102</t>
  </si>
  <si>
    <t>Telecom Franchise</t>
  </si>
  <si>
    <t>000-5103</t>
  </si>
  <si>
    <t>PEG Fees</t>
  </si>
  <si>
    <t>000-5104</t>
  </si>
  <si>
    <t>GVEC.NET/Internet Franchise</t>
  </si>
  <si>
    <t>Total Franchises</t>
  </si>
  <si>
    <t>000-5200</t>
  </si>
  <si>
    <t>Bldg Permit - Residential</t>
  </si>
  <si>
    <t>000-5201</t>
  </si>
  <si>
    <t>Bldg Permit - Commercial</t>
  </si>
  <si>
    <t>000-5202</t>
  </si>
  <si>
    <t>Bldg Permit - General</t>
  </si>
  <si>
    <t>000-5203</t>
  </si>
  <si>
    <t>Sign Permits</t>
  </si>
  <si>
    <t>000-5204</t>
  </si>
  <si>
    <t>Food Establishment Permit</t>
  </si>
  <si>
    <t>000-5205</t>
  </si>
  <si>
    <t>Garage/Yard Sale Permit</t>
  </si>
  <si>
    <t>000-5206</t>
  </si>
  <si>
    <t>Plumbing Permit</t>
  </si>
  <si>
    <t>000-5207</t>
  </si>
  <si>
    <t>Electrical Permit</t>
  </si>
  <si>
    <t>000-5208</t>
  </si>
  <si>
    <t>Mechanical Permit</t>
  </si>
  <si>
    <t>000-5209</t>
  </si>
  <si>
    <t>Solicitor/Peddler Permit</t>
  </si>
  <si>
    <t>000-5210</t>
  </si>
  <si>
    <t>Animal/Pet Permit</t>
  </si>
  <si>
    <t>000-5211</t>
  </si>
  <si>
    <t>Certificate of Occupancy Permits</t>
  </si>
  <si>
    <t>000-5212</t>
  </si>
  <si>
    <t>Security Alarm Permit</t>
  </si>
  <si>
    <t>000-5213</t>
  </si>
  <si>
    <t>Grading/Clearing Permit</t>
  </si>
  <si>
    <t>Total Permits</t>
  </si>
  <si>
    <t>000-5300</t>
  </si>
  <si>
    <t>Alcohol Beverage License</t>
  </si>
  <si>
    <t>Total Licenses</t>
  </si>
  <si>
    <t>000-4001</t>
  </si>
  <si>
    <t>000-4002</t>
  </si>
  <si>
    <t>000-4003</t>
  </si>
  <si>
    <t>DEF</t>
  </si>
  <si>
    <t>000-4004</t>
  </si>
  <si>
    <t>000-4005</t>
  </si>
  <si>
    <t>DSML</t>
  </si>
  <si>
    <t>000-4006</t>
  </si>
  <si>
    <t>000-4007</t>
  </si>
  <si>
    <t>000-4008</t>
  </si>
  <si>
    <t>SB</t>
  </si>
  <si>
    <t>000-4009</t>
  </si>
  <si>
    <t>000-4010</t>
  </si>
  <si>
    <t>000-4011</t>
  </si>
  <si>
    <t>000-4012</t>
  </si>
  <si>
    <t>000-4013</t>
  </si>
  <si>
    <t>000-4014</t>
  </si>
  <si>
    <t>000-4015</t>
  </si>
  <si>
    <t>000-4016</t>
  </si>
  <si>
    <t>000-4017</t>
  </si>
  <si>
    <t>Child Safety - Reg.</t>
  </si>
  <si>
    <t>000-4018</t>
  </si>
  <si>
    <t>Overpayment</t>
  </si>
  <si>
    <t>000-4019</t>
  </si>
  <si>
    <t>LEOCE</t>
  </si>
  <si>
    <t>000-4020</t>
  </si>
  <si>
    <t>Platting/Zoning Fees</t>
  </si>
  <si>
    <t>000-4021</t>
  </si>
  <si>
    <t>Re-inspection Fees</t>
  </si>
  <si>
    <t>000-4022</t>
  </si>
  <si>
    <t>MYSO Utility Reimbursement</t>
  </si>
  <si>
    <t>000-4023</t>
  </si>
  <si>
    <t>NSF Check Fee</t>
  </si>
  <si>
    <t>000-4024</t>
  </si>
  <si>
    <t>Notary Fee</t>
  </si>
  <si>
    <t>000-4025</t>
  </si>
  <si>
    <t>Maps, Copies, Fax</t>
  </si>
  <si>
    <t>000-4026</t>
  </si>
  <si>
    <t>Public Information Request</t>
  </si>
  <si>
    <t>000-4027</t>
  </si>
  <si>
    <t>Police Reports</t>
  </si>
  <si>
    <t>000-4028</t>
  </si>
  <si>
    <t>Pet Impoundment</t>
  </si>
  <si>
    <t>000-4029</t>
  </si>
  <si>
    <t>000-4030</t>
  </si>
  <si>
    <t>Fines and Fees-Other</t>
  </si>
  <si>
    <t>000-4031</t>
  </si>
  <si>
    <t>000-4032</t>
  </si>
  <si>
    <t>000-4033</t>
  </si>
  <si>
    <t>TFC</t>
  </si>
  <si>
    <t>000-4034</t>
  </si>
  <si>
    <t>000-4035</t>
  </si>
  <si>
    <t>PF</t>
  </si>
  <si>
    <t>000-4036</t>
  </si>
  <si>
    <t>000-5501</t>
  </si>
  <si>
    <t>Total Interlocal</t>
  </si>
  <si>
    <t>Transfers</t>
  </si>
  <si>
    <t>000-5601</t>
  </si>
  <si>
    <t>Transfer from MM</t>
  </si>
  <si>
    <t>000-5602</t>
  </si>
  <si>
    <t>Transfer - Court Tech Reserve</t>
  </si>
  <si>
    <t>000-5603</t>
  </si>
  <si>
    <t>Transfer - Building Security</t>
  </si>
  <si>
    <t>000-5604</t>
  </si>
  <si>
    <t>Transfer In - UF</t>
  </si>
  <si>
    <t>Total Fund Transfers</t>
  </si>
  <si>
    <t>000-5701</t>
  </si>
  <si>
    <t>Interest Earned</t>
  </si>
  <si>
    <t>000-5702</t>
  </si>
  <si>
    <t>TX Higher Facilities Education</t>
  </si>
  <si>
    <t>000-5703</t>
  </si>
  <si>
    <t>000-5704</t>
  </si>
  <si>
    <t>Transfer in fm Reserves</t>
  </si>
  <si>
    <t>Total Miscellaneous</t>
  </si>
  <si>
    <t>GENERAL GOVERNMENT EXPENDITURES</t>
  </si>
  <si>
    <t>01</t>
  </si>
  <si>
    <t>·City Secretary</t>
  </si>
  <si>
    <t>Personnel Services</t>
  </si>
  <si>
    <t>01-1110</t>
  </si>
  <si>
    <t>Regular</t>
  </si>
  <si>
    <t>01-1112</t>
  </si>
  <si>
    <t>AD&amp;D/Life</t>
  </si>
  <si>
    <t>01-1113</t>
  </si>
  <si>
    <t>FICA - Employer</t>
  </si>
  <si>
    <t>01-1117</t>
  </si>
  <si>
    <t>Social Security - Employer</t>
  </si>
  <si>
    <t>01-1114</t>
  </si>
  <si>
    <t>TMRS - Employer</t>
  </si>
  <si>
    <t>01-1115</t>
  </si>
  <si>
    <t>Health - Employer</t>
  </si>
  <si>
    <t>01-1116</t>
  </si>
  <si>
    <t>Workers Compensation</t>
  </si>
  <si>
    <t>Total Personnel Services</t>
  </si>
  <si>
    <t>01-2110</t>
  </si>
  <si>
    <t>Elections Administrator</t>
  </si>
  <si>
    <t>01-2111</t>
  </si>
  <si>
    <t>Annual Christmas Lighting</t>
  </si>
  <si>
    <t>Total Professional Services</t>
  </si>
  <si>
    <t>01-3114</t>
  </si>
  <si>
    <t>Printing/Binding</t>
  </si>
  <si>
    <t>01-3115</t>
  </si>
  <si>
    <t>Training/Travel/Memberships</t>
  </si>
  <si>
    <t>01-3116</t>
  </si>
  <si>
    <t>Computer Equipment</t>
  </si>
  <si>
    <t>01-3118</t>
  </si>
  <si>
    <t>Records Management</t>
  </si>
  <si>
    <t>Total Operations &amp; Supplies</t>
  </si>
  <si>
    <t>01-4110</t>
  </si>
  <si>
    <t>Electric</t>
  </si>
  <si>
    <t>01-4111</t>
  </si>
  <si>
    <t>Telecom</t>
  </si>
  <si>
    <t>01-4112</t>
  </si>
  <si>
    <t>Alarm</t>
  </si>
  <si>
    <t>01-4113</t>
  </si>
  <si>
    <t>Internet</t>
  </si>
  <si>
    <t>Total Utility Services</t>
  </si>
  <si>
    <t>01-5110</t>
  </si>
  <si>
    <t>Xerox</t>
  </si>
  <si>
    <t>01-5111</t>
  </si>
  <si>
    <t>Pitney Bowes</t>
  </si>
  <si>
    <t>Total Rental/Lease Payments</t>
  </si>
  <si>
    <t>TOTAL CITY SECRETARY</t>
  </si>
  <si>
    <t>City Secretary Summary</t>
  </si>
  <si>
    <t>FY20 was the first fiscal year in which the City Secretary position is budgeted to included professional services and operations and supplies; including line items for computer equipment and support and records management. In FY21 supplies, computer support and postage was moved to a new department named Administration.</t>
  </si>
  <si>
    <t>02</t>
  </si>
  <si>
    <t>Municiple Court Clerk</t>
  </si>
  <si>
    <t>02-1110</t>
  </si>
  <si>
    <t>02-1111</t>
  </si>
  <si>
    <t>Overtime</t>
  </si>
  <si>
    <t>02-1112</t>
  </si>
  <si>
    <t>02-1113</t>
  </si>
  <si>
    <t>02-1117</t>
  </si>
  <si>
    <t>02-1114</t>
  </si>
  <si>
    <t>02-1115</t>
  </si>
  <si>
    <t>02-1116</t>
  </si>
  <si>
    <t>02-2111</t>
  </si>
  <si>
    <t>Municipal Attorney</t>
  </si>
  <si>
    <t>02-2112</t>
  </si>
  <si>
    <t>Municipal Court Judge</t>
  </si>
  <si>
    <t>02-3110</t>
  </si>
  <si>
    <t>Office Supplies</t>
  </si>
  <si>
    <t>02-3114</t>
  </si>
  <si>
    <t>Printing</t>
  </si>
  <si>
    <t>02-3115</t>
  </si>
  <si>
    <t>02-3116</t>
  </si>
  <si>
    <t>02-3117</t>
  </si>
  <si>
    <t>Computer Support</t>
  </si>
  <si>
    <t>TOTAL MUNICIPAL COURT</t>
  </si>
  <si>
    <t>Municipal Court Clerk Summary</t>
  </si>
  <si>
    <t>03</t>
  </si>
  <si>
    <t>03-1110</t>
  </si>
  <si>
    <t>03-1111</t>
  </si>
  <si>
    <t>03-1112</t>
  </si>
  <si>
    <t>03-1113</t>
  </si>
  <si>
    <t>03-1117</t>
  </si>
  <si>
    <t>03-1114</t>
  </si>
  <si>
    <t>03-1115</t>
  </si>
  <si>
    <t>03-1116</t>
  </si>
  <si>
    <t>03-2113</t>
  </si>
  <si>
    <t>Building Inspector</t>
  </si>
  <si>
    <t>03-3110</t>
  </si>
  <si>
    <t>03-3114</t>
  </si>
  <si>
    <t>03-3115</t>
  </si>
  <si>
    <t>03-3116</t>
  </si>
  <si>
    <t>03-3117</t>
  </si>
  <si>
    <t>TOTAL PERMITTING</t>
  </si>
  <si>
    <t>Permitting Clerk Summary</t>
  </si>
  <si>
    <t xml:space="preserve">FY20 will be the first fiscal year in which the Permitting Clerk position is budgeted to included professional services for building inspector and operations and support/supplies. In FY21 support/supplies was moved to a new department named Administration. </t>
  </si>
  <si>
    <t>04</t>
  </si>
  <si>
    <t>·Drainage/Streets</t>
  </si>
  <si>
    <t>04-1110</t>
  </si>
  <si>
    <t>04-1111</t>
  </si>
  <si>
    <t>04-1112</t>
  </si>
  <si>
    <t>04-1113</t>
  </si>
  <si>
    <t>04-1117</t>
  </si>
  <si>
    <t>04-1114</t>
  </si>
  <si>
    <t>04-1115</t>
  </si>
  <si>
    <t>04-1116</t>
  </si>
  <si>
    <t>04-3124</t>
  </si>
  <si>
    <t>Telecom Reimbursement</t>
  </si>
  <si>
    <t>04-3125</t>
  </si>
  <si>
    <t>On-Call</t>
  </si>
  <si>
    <t>04-3111</t>
  </si>
  <si>
    <t>Operating Supplies</t>
  </si>
  <si>
    <t>04-3112</t>
  </si>
  <si>
    <t>Operating Supplies - Streets/Drainage</t>
  </si>
  <si>
    <t>04-3113</t>
  </si>
  <si>
    <t>Operating Supplies -Signs</t>
  </si>
  <si>
    <t>04-3120</t>
  </si>
  <si>
    <t>Equipment Maintenance/Repairs</t>
  </si>
  <si>
    <t>04-3121</t>
  </si>
  <si>
    <t>Vehicle Maintenance/Repairs</t>
  </si>
  <si>
    <t>04-3122</t>
  </si>
  <si>
    <t>Fuel</t>
  </si>
  <si>
    <t>04-3123</t>
  </si>
  <si>
    <t>Laundry Service</t>
  </si>
  <si>
    <t>Repair/Maintenance Parks</t>
  </si>
  <si>
    <t>04-6110</t>
  </si>
  <si>
    <t>TXDOT Agreement</t>
  </si>
  <si>
    <t>04-6120</t>
  </si>
  <si>
    <t>Animal Control</t>
  </si>
  <si>
    <t>Total Contractual Services</t>
  </si>
  <si>
    <t>Capital Outlay</t>
  </si>
  <si>
    <t>04-7110</t>
  </si>
  <si>
    <t>Zero Turn Mower</t>
  </si>
  <si>
    <t>04-7111</t>
  </si>
  <si>
    <t>Front End Loader and Backhoe</t>
  </si>
  <si>
    <t>Total Capital Outlay</t>
  </si>
  <si>
    <t>Drainage/Streets Summary</t>
  </si>
  <si>
    <t>The Drainage/Streets budgeted items include one (1) full-time position and one (1) part time position. Operating supplies have continued to increase due to lack of capital improvements and equipment reaching life expectancy.</t>
  </si>
  <si>
    <t>05</t>
  </si>
  <si>
    <t>Police Department</t>
  </si>
  <si>
    <t>05-1110</t>
  </si>
  <si>
    <t>05-1111</t>
  </si>
  <si>
    <t>05-1112</t>
  </si>
  <si>
    <t>AD&amp;D/Life - Employer</t>
  </si>
  <si>
    <t>05-1113</t>
  </si>
  <si>
    <t>05-1117</t>
  </si>
  <si>
    <t>05-1114</t>
  </si>
  <si>
    <t>05-1115</t>
  </si>
  <si>
    <t>05-1116</t>
  </si>
  <si>
    <t>Clothing Allowance</t>
  </si>
  <si>
    <t>05-3110</t>
  </si>
  <si>
    <t>05-3111</t>
  </si>
  <si>
    <t>Operational Supplies</t>
  </si>
  <si>
    <t>05-3114</t>
  </si>
  <si>
    <t>05-3115</t>
  </si>
  <si>
    <t>05-3116</t>
  </si>
  <si>
    <t>05-3117</t>
  </si>
  <si>
    <t>05-3126</t>
  </si>
  <si>
    <t>Cellular Devices</t>
  </si>
  <si>
    <t>05-3122</t>
  </si>
  <si>
    <t>Fuel/Mileage</t>
  </si>
  <si>
    <t>05-3121</t>
  </si>
  <si>
    <t>Vehicle Maintenance/Repair</t>
  </si>
  <si>
    <t>05-3127</t>
  </si>
  <si>
    <t>Liability Insurance</t>
  </si>
  <si>
    <t>Rental/Leasing &amp; Maintenance Services</t>
  </si>
  <si>
    <t>05-5112</t>
  </si>
  <si>
    <t>Computer Maintenance/Lease Payments</t>
  </si>
  <si>
    <t>05-5113</t>
  </si>
  <si>
    <t>Vehicle/Equipment Lease Payments</t>
  </si>
  <si>
    <t>Total Rental/Leasing &amp; Maintenance Services</t>
  </si>
  <si>
    <t>05-7112</t>
  </si>
  <si>
    <t xml:space="preserve">Radios (Handheld) </t>
  </si>
  <si>
    <t>05-7113</t>
  </si>
  <si>
    <t>Computers/printers (mobile)</t>
  </si>
  <si>
    <t>05-7114</t>
  </si>
  <si>
    <t>Vehicle Purchase/Lease</t>
  </si>
  <si>
    <t>05-7115</t>
  </si>
  <si>
    <t>Vehicle Equipment</t>
  </si>
  <si>
    <t>05-7116</t>
  </si>
  <si>
    <t>Body Armor</t>
  </si>
  <si>
    <t>Inter-Fund Transfer</t>
  </si>
  <si>
    <t>05-9110</t>
  </si>
  <si>
    <t>Transfer to UF</t>
  </si>
  <si>
    <t>Total Inter-Fund Transfer</t>
  </si>
  <si>
    <t>TOTAL POLICE DEPARTMENT</t>
  </si>
  <si>
    <t>Police Department Summary</t>
  </si>
  <si>
    <t>·Legal Services</t>
  </si>
  <si>
    <t>Operations Support</t>
  </si>
  <si>
    <t>06-3128</t>
  </si>
  <si>
    <t>Advertising/Legal Notices</t>
  </si>
  <si>
    <t>Total Operations Support</t>
  </si>
  <si>
    <t>06-2114</t>
  </si>
  <si>
    <t>TOTAL LEGAL SERVICES</t>
  </si>
  <si>
    <t>Legal Services Summary</t>
  </si>
  <si>
    <t>Legal Services include that of the City Attorney and have increased from the previous fiscal year due to presence at meetings, assisting elected officials with questions, and staff as warranted.</t>
  </si>
  <si>
    <t>·Engineering Services</t>
  </si>
  <si>
    <t>07-2115</t>
  </si>
  <si>
    <t>TOTAL ENGINEERING SERVICES</t>
  </si>
  <si>
    <t>Engineering Services Summary</t>
  </si>
  <si>
    <t>Engineering services include amendments to the City's Comprehensive Plan, the Annual Municipal Separate Storm Sewer System (MS4) and a contingency to review development and site plans.</t>
  </si>
  <si>
    <t>·Auditor</t>
  </si>
  <si>
    <t>08-2116</t>
  </si>
  <si>
    <t>TOTAL AUDITOR</t>
  </si>
  <si>
    <t>·Guadalupe County Appraisal District</t>
  </si>
  <si>
    <t>09-2117</t>
  </si>
  <si>
    <t>Appraisal Services</t>
  </si>
  <si>
    <t>TOTAL APPRAISAL SERVICES</t>
  </si>
  <si>
    <t>·Guadalupe County Tax Assessor</t>
  </si>
  <si>
    <t>10-2118</t>
  </si>
  <si>
    <t>Tax Assessor</t>
  </si>
  <si>
    <t>TOTAL TAX ASSESSOR</t>
  </si>
  <si>
    <t>·Marion Community Library (MCLA)</t>
  </si>
  <si>
    <t>11-6111</t>
  </si>
  <si>
    <t>TOTAL MCLA</t>
  </si>
  <si>
    <r>
      <rPr>
        <b/>
        <sz val="11"/>
        <color theme="1"/>
        <rFont val="Arial"/>
        <family val="2"/>
      </rPr>
      <t>·</t>
    </r>
    <r>
      <rPr>
        <sz val="11"/>
        <color theme="1"/>
        <rFont val="Arial"/>
        <family val="2"/>
      </rPr>
      <t>Fire &amp; Rescue (Volunteer)</t>
    </r>
  </si>
  <si>
    <t>12-3132</t>
  </si>
  <si>
    <t>Utilities</t>
  </si>
  <si>
    <t>12-6112</t>
  </si>
  <si>
    <t>Fire &amp; Rescue</t>
  </si>
  <si>
    <t>TOTAL FIRE &amp; RESCUE</t>
  </si>
  <si>
    <t>·SAFES (EMS)</t>
  </si>
  <si>
    <t>13-3132</t>
  </si>
  <si>
    <t>13-6119</t>
  </si>
  <si>
    <t>TOTAL SAFES</t>
  </si>
  <si>
    <t>Water</t>
  </si>
  <si>
    <t>Wastewater</t>
  </si>
  <si>
    <t>Municipal Waste</t>
  </si>
  <si>
    <t>UTILITY EXPENSES</t>
  </si>
  <si>
    <t>Administration</t>
  </si>
  <si>
    <t>Operations</t>
  </si>
  <si>
    <t>Utility Clerk</t>
  </si>
  <si>
    <t>TOTAL UTILITY EXPENSES</t>
  </si>
  <si>
    <t xml:space="preserve">Water </t>
  </si>
  <si>
    <t>000-3400</t>
  </si>
  <si>
    <t>Tap Fees</t>
  </si>
  <si>
    <t>000-3401</t>
  </si>
  <si>
    <t>Reconnect Fees</t>
  </si>
  <si>
    <t>000-3402</t>
  </si>
  <si>
    <t>CSI</t>
  </si>
  <si>
    <t>000-3403</t>
  </si>
  <si>
    <t>Customer Deposit</t>
  </si>
  <si>
    <t>000-3404</t>
  </si>
  <si>
    <t>Water Sales</t>
  </si>
  <si>
    <t>000-3405</t>
  </si>
  <si>
    <t>Lease Payment</t>
  </si>
  <si>
    <t>Total Water</t>
  </si>
  <si>
    <t>000-3300</t>
  </si>
  <si>
    <t>Wastewater Treatment</t>
  </si>
  <si>
    <t>Total Wastewater</t>
  </si>
  <si>
    <t>000-3200</t>
  </si>
  <si>
    <t>Municipal Waste Sales</t>
  </si>
  <si>
    <t>Total Municipal Waste Sales</t>
  </si>
  <si>
    <t>000-3501</t>
  </si>
  <si>
    <t>Inter-Fund Transfer - GF</t>
  </si>
  <si>
    <t>000-3001</t>
  </si>
  <si>
    <t>Penalty and Interest</t>
  </si>
  <si>
    <t>000-3002</t>
  </si>
  <si>
    <t>·Administration</t>
  </si>
  <si>
    <t>15-2114</t>
  </si>
  <si>
    <t>15-2115</t>
  </si>
  <si>
    <t>15-2116</t>
  </si>
  <si>
    <t>Auditing Services</t>
  </si>
  <si>
    <t>15-2117</t>
  </si>
  <si>
    <t>GA Appraisal Services</t>
  </si>
  <si>
    <t>15-2118</t>
  </si>
  <si>
    <t>GC Tax Assessor</t>
  </si>
  <si>
    <t>15-2119</t>
  </si>
  <si>
    <t>Bookkeeping Services</t>
  </si>
  <si>
    <t>15-3110</t>
  </si>
  <si>
    <t>15-3112</t>
  </si>
  <si>
    <t>Bank Fees</t>
  </si>
  <si>
    <t>15-3117</t>
  </si>
  <si>
    <t>Computer Support/Maintenance</t>
  </si>
  <si>
    <t>15-3119</t>
  </si>
  <si>
    <t>Postage</t>
  </si>
  <si>
    <t>15-3120</t>
  </si>
  <si>
    <t>15-3128</t>
  </si>
  <si>
    <t>15-4110</t>
  </si>
  <si>
    <t>15-4111</t>
  </si>
  <si>
    <t>15-4112</t>
  </si>
  <si>
    <t>15-4113</t>
  </si>
  <si>
    <t>15-5110</t>
  </si>
  <si>
    <t>15-5111</t>
  </si>
  <si>
    <t>15-6111</t>
  </si>
  <si>
    <t>15-6112</t>
  </si>
  <si>
    <t>15-6119</t>
  </si>
  <si>
    <t>TOTAL ADMINISTRATION</t>
  </si>
  <si>
    <t>Administration Summary</t>
  </si>
  <si>
    <t>Administration was added to accomodate expenses who's liability  shouldn't fall under other personnel departments.</t>
  </si>
  <si>
    <t>·Operations</t>
  </si>
  <si>
    <t>14-1110</t>
  </si>
  <si>
    <t>14-1111</t>
  </si>
  <si>
    <t>14-1112</t>
  </si>
  <si>
    <t>14-1113</t>
  </si>
  <si>
    <t>14-1117</t>
  </si>
  <si>
    <t>14-1114</t>
  </si>
  <si>
    <t>14-1115</t>
  </si>
  <si>
    <t>14-1116</t>
  </si>
  <si>
    <t>14-3125</t>
  </si>
  <si>
    <t>14-3124</t>
  </si>
  <si>
    <t>14-3131</t>
  </si>
  <si>
    <t>Automobile Allowance</t>
  </si>
  <si>
    <t>14-2116</t>
  </si>
  <si>
    <t>14-2119</t>
  </si>
  <si>
    <t>Bookkeeper</t>
  </si>
  <si>
    <t>14-2114</t>
  </si>
  <si>
    <t>Legal</t>
  </si>
  <si>
    <t>14-2115</t>
  </si>
  <si>
    <t>Engineering</t>
  </si>
  <si>
    <t>14-2120</t>
  </si>
  <si>
    <t>14-3117</t>
  </si>
  <si>
    <t>Computer Maintenance/Support</t>
  </si>
  <si>
    <t>14-3116</t>
  </si>
  <si>
    <t>14-6113</t>
  </si>
  <si>
    <t>14-6114</t>
  </si>
  <si>
    <t>Dispatcher/Alarm</t>
  </si>
  <si>
    <t>14-6115</t>
  </si>
  <si>
    <t>Water Purchase</t>
  </si>
  <si>
    <t>14-6116</t>
  </si>
  <si>
    <t>Water Supply Agreement</t>
  </si>
  <si>
    <t>14-6117</t>
  </si>
  <si>
    <t>Property &amp; Liability Insurance</t>
  </si>
  <si>
    <t>14-6118</t>
  </si>
  <si>
    <t>Temporary Office</t>
  </si>
  <si>
    <t>Operations &amp; Supplies</t>
  </si>
  <si>
    <t>14-3111</t>
  </si>
  <si>
    <t>14-3112</t>
  </si>
  <si>
    <t>14-3114</t>
  </si>
  <si>
    <t>14-3115</t>
  </si>
  <si>
    <t>14-3119</t>
  </si>
  <si>
    <t>14-3120</t>
  </si>
  <si>
    <t>Equipment Repair/Maintenance</t>
  </si>
  <si>
    <t>14-3121</t>
  </si>
  <si>
    <t>Vehicle Repair/Maintenance</t>
  </si>
  <si>
    <t>14-3122</t>
  </si>
  <si>
    <t>14-3123</t>
  </si>
  <si>
    <t>14-3129</t>
  </si>
  <si>
    <t>Analysis &amp; Chemicals</t>
  </si>
  <si>
    <t>14-3130</t>
  </si>
  <si>
    <t>Sludge Disposal</t>
  </si>
  <si>
    <t>14-3133</t>
  </si>
  <si>
    <t>Repair/Maintenance</t>
  </si>
  <si>
    <t>14-3134</t>
  </si>
  <si>
    <t>14-8110</t>
  </si>
  <si>
    <t>Permits, Regulatory Fees/Dues</t>
  </si>
  <si>
    <t>Total Training &amp; Regulatory</t>
  </si>
  <si>
    <t>14-4110</t>
  </si>
  <si>
    <t>14-4111</t>
  </si>
  <si>
    <t>14-4112</t>
  </si>
  <si>
    <t>14-4113</t>
  </si>
  <si>
    <t>14-5110</t>
  </si>
  <si>
    <t>14-5111</t>
  </si>
  <si>
    <t>14-9111</t>
  </si>
  <si>
    <t>Transfer - GF</t>
  </si>
  <si>
    <t>Total Transfers</t>
  </si>
  <si>
    <t>14-7110</t>
  </si>
  <si>
    <t>TOTAL WATER &amp; WASTEWATER</t>
  </si>
  <si>
    <t>Water and Wastewater Summary</t>
  </si>
  <si>
    <t>The Water and Wastewater administration and field operations are encumbered in the Utility Fund, and include four (2) full-time staff.  Additional monies have been inlcuded for repair/replacement of utility infrastructure which has reached life expectancy.</t>
  </si>
  <si>
    <t>16-1110</t>
  </si>
  <si>
    <t>16-1111</t>
  </si>
  <si>
    <t>16-1112</t>
  </si>
  <si>
    <t>16-1113</t>
  </si>
  <si>
    <t>16-1117</t>
  </si>
  <si>
    <t>16-1114</t>
  </si>
  <si>
    <t>16-1115</t>
  </si>
  <si>
    <t>16-1116</t>
  </si>
  <si>
    <t>16-3115</t>
  </si>
  <si>
    <t>16-3116</t>
  </si>
  <si>
    <t>CITY OF MARION</t>
  </si>
  <si>
    <t>OPERATING BUDGET</t>
  </si>
  <si>
    <t xml:space="preserve">Depreciation </t>
  </si>
  <si>
    <t>FY18-19 BUDGET</t>
  </si>
  <si>
    <t>FY18-19 ACTUAL</t>
  </si>
  <si>
    <t>FY19-20 BUDGET</t>
  </si>
  <si>
    <t>FY19-20 ACTUAL</t>
  </si>
  <si>
    <t>FY20-21 BUDGET</t>
  </si>
  <si>
    <t>000-4037</t>
  </si>
  <si>
    <t>000-4038</t>
  </si>
  <si>
    <t>000-4039</t>
  </si>
  <si>
    <t>Miscellaneous GF</t>
  </si>
  <si>
    <t>000-5706</t>
  </si>
  <si>
    <t>Other Fund Sources</t>
  </si>
  <si>
    <t>000-5707</t>
  </si>
  <si>
    <t>Grant Revenues</t>
  </si>
  <si>
    <t>Miscellaneous UF</t>
  </si>
  <si>
    <t>000-3406</t>
  </si>
  <si>
    <t>000-3407</t>
  </si>
  <si>
    <t>Water Impact Fees</t>
  </si>
  <si>
    <t>Sewer Impact Fees</t>
  </si>
  <si>
    <t>15-3129</t>
  </si>
  <si>
    <t>Fines and Fees - Court</t>
  </si>
  <si>
    <t>Fines and Fees - Other</t>
  </si>
  <si>
    <t>Total Fines and  Fees- Court</t>
  </si>
  <si>
    <t>Total Fines and  Fees- Other</t>
  </si>
  <si>
    <t>01-5610</t>
  </si>
  <si>
    <t>Miscellaneous Other (for audit)</t>
  </si>
  <si>
    <t>05-1118</t>
  </si>
  <si>
    <t>000-4040</t>
  </si>
  <si>
    <t>BSF - Building Security Fund</t>
  </si>
  <si>
    <t>000-4041</t>
  </si>
  <si>
    <t>DPSF - OMNI</t>
  </si>
  <si>
    <t>CCC - Consolidated Court Costs</t>
  </si>
  <si>
    <t>WRNT - Warrant Fees</t>
  </si>
  <si>
    <t>DSC - Driving Safety Course</t>
  </si>
  <si>
    <t>FINE - Fines</t>
  </si>
  <si>
    <t>STF - State Traffic Fee</t>
  </si>
  <si>
    <t>OMNC - Omni Fee County</t>
  </si>
  <si>
    <t>JRF - Jury Reimbursement Fee</t>
  </si>
  <si>
    <t>JSF - Judicial Support Fee</t>
  </si>
  <si>
    <t>LTFC - Local Traffic Fine</t>
  </si>
  <si>
    <t>MAF - Municipal Arrest Fee</t>
  </si>
  <si>
    <t>TP - Time Payment</t>
  </si>
  <si>
    <t>MCT - Municipal Court Tech Fee</t>
  </si>
  <si>
    <t>DPSC - Omni Fee</t>
  </si>
  <si>
    <t>LLLC - Local Cons Court Cost</t>
  </si>
  <si>
    <t>MCBS - Municipal Court Bldg Sec Fee</t>
  </si>
  <si>
    <t>OMNR - Omni Reimbursement Fee</t>
  </si>
  <si>
    <t>TPRF - Time Payment Reim Fee</t>
  </si>
  <si>
    <t>DEFF - Deferred Fine</t>
  </si>
  <si>
    <t>CSRV - Collections Service Fee</t>
  </si>
  <si>
    <t>CPLD - Compliance Dismissal Fine</t>
  </si>
  <si>
    <t>STF1 - State Traffic Fine</t>
  </si>
  <si>
    <t>000-5705</t>
  </si>
  <si>
    <t>Cares Act Grants</t>
  </si>
  <si>
    <t>15-3130</t>
  </si>
  <si>
    <t>Interest Paid</t>
  </si>
  <si>
    <t>15-3132</t>
  </si>
  <si>
    <t>Cares Act Expense</t>
  </si>
  <si>
    <t>01-3126</t>
  </si>
  <si>
    <t>02-3126</t>
  </si>
  <si>
    <t>Maintenance (combined with 14-3133)</t>
  </si>
  <si>
    <t>16-3126</t>
  </si>
  <si>
    <t>SRO</t>
  </si>
  <si>
    <t>SRO Department Summary</t>
  </si>
  <si>
    <t>05-????</t>
  </si>
  <si>
    <t>Tazers (4)</t>
  </si>
  <si>
    <t>04-????</t>
  </si>
  <si>
    <t>Mayor &amp; Council Expenses</t>
  </si>
  <si>
    <t>16-3117</t>
  </si>
  <si>
    <t xml:space="preserve">one more employee at $20/hr </t>
  </si>
  <si>
    <t>Golf Cart or ATV</t>
  </si>
  <si>
    <t>from wishlist</t>
  </si>
  <si>
    <r>
      <rPr>
        <b/>
        <sz val="12"/>
        <color rgb="FFFF0000"/>
        <rFont val="Arial"/>
        <family val="2"/>
      </rPr>
      <t>(OVER)</t>
    </r>
    <r>
      <rPr>
        <b/>
        <sz val="12"/>
        <color theme="1"/>
        <rFont val="Arial"/>
        <family val="2"/>
      </rPr>
      <t>/UNDER</t>
    </r>
  </si>
  <si>
    <t>The SRO was moved to a new dedicated department for FY2022</t>
  </si>
  <si>
    <t>The budget includes three (3) full-time positions.  The Approved FY2020 Operating Budget - Amendment 1, reduced the capital outlay expenditures for PD radios.  The handheld radios will be purchased in FY2020 and the Vehicle (mobile) radios will be purchased in FY2021 ($15,444).</t>
  </si>
  <si>
    <t xml:space="preserve">The School Resource Officer, is budgeted for cost share of thirty-three percent (33%) to the City and sixty-six percent (66%) to Marion ISD. </t>
  </si>
  <si>
    <t>Proposed Increase</t>
  </si>
  <si>
    <t>15-????</t>
  </si>
  <si>
    <t>Vehicle Maintenance Plan</t>
  </si>
  <si>
    <t>14-????</t>
  </si>
  <si>
    <t>Ford F-250</t>
  </si>
  <si>
    <t xml:space="preserve">$2,040 was added to line item 05-3126 for Radios (air) </t>
  </si>
  <si>
    <t>Workers Compensation include the City Secretary, Elected and appointed officials (Council, and P&amp;Z)</t>
  </si>
  <si>
    <t>for Proposed additional officer instead of one full time it will be two part time officers</t>
  </si>
  <si>
    <t>3 body cameras will be purchased with a Grant from the 100 Club</t>
  </si>
  <si>
    <t>1 Body Camera will be purchased with ARP money</t>
  </si>
  <si>
    <t>Proposed 2 partime Additional Officers</t>
  </si>
  <si>
    <t>16-3117 if a new software is approved the $3400 will be deleted</t>
  </si>
  <si>
    <t>04--3112</t>
  </si>
  <si>
    <t>$7,000.00 were added to Operation Supplies</t>
  </si>
  <si>
    <t>15--???</t>
  </si>
  <si>
    <t>Finance Software if approved by Counicl the first year will be included with the initial fee (ARP)</t>
  </si>
  <si>
    <t xml:space="preserve">but the $20,500 will not be included in the 2022-2023 budget </t>
  </si>
  <si>
    <t>15--3117</t>
  </si>
  <si>
    <t>this is to pay for Quickbooks, Antivirus, website, webpayments module, etc.</t>
  </si>
  <si>
    <t>Proposed budget includes 2% Cola requested by Council</t>
  </si>
  <si>
    <t xml:space="preserve">performance/evaluation Bonus per Council </t>
  </si>
  <si>
    <t>$40,838 dollars were added to Repair/Maintenance</t>
  </si>
  <si>
    <t>$40,000 were added to Vehicle Maintenance plan</t>
  </si>
  <si>
    <t>05-7114 $2,839 was added to slowly start replacing printers for ticket writers</t>
  </si>
  <si>
    <t xml:space="preserve">Currently, the Municipal Court Clerk also serves as the Permitting Clerk; therefore, the two (2) positions are split fifty-fifty (50/50).  The professional services associated with the Municipal Court Clerk position include that of the Municipal Attorney and Municipal Court Judge.  </t>
  </si>
  <si>
    <t>FY21-22 BUDGET</t>
  </si>
  <si>
    <t>FY20-21 ACTUAL</t>
  </si>
  <si>
    <t>FY21-22 ACTUAL</t>
  </si>
  <si>
    <t>FY21-22  BUDGET</t>
  </si>
  <si>
    <t>FY 21-22 BUDGET</t>
  </si>
  <si>
    <t>FY 21-22 ACTUAL</t>
  </si>
  <si>
    <t>DO NOT TOUCH! TOTALS ARE CALCUATED FROM ALL THE OTHER UF SHEETS</t>
  </si>
  <si>
    <t>DO NOT TOUCH! TOTALS ARE CALCUATED FROM ALL THE OTHER GF SHEETS</t>
  </si>
  <si>
    <t>DO NOT TOUCH! TOTALS ARE CALCUATED FROM ALL THE OTHER SHEETS</t>
  </si>
  <si>
    <t>INCREASE</t>
  </si>
  <si>
    <t>PERSONNEL INCREASE</t>
  </si>
  <si>
    <t>YEARLY INCREASE</t>
  </si>
  <si>
    <r>
      <t>This is the rate of increase for personnel pay if all equal</t>
    </r>
    <r>
      <rPr>
        <sz val="12"/>
        <color rgb="FFFF0000"/>
        <rFont val="Arial"/>
        <family val="2"/>
      </rPr>
      <t xml:space="preserve"> (CHANGE AS NEEDED)</t>
    </r>
  </si>
  <si>
    <r>
      <t>This is the rate of increase for all line items except personnel pay</t>
    </r>
    <r>
      <rPr>
        <sz val="12"/>
        <color rgb="FFFF0000"/>
        <rFont val="Arial"/>
        <family val="2"/>
      </rPr>
      <t xml:space="preserve"> (CHANGE AS NEEDED)</t>
    </r>
  </si>
  <si>
    <t>MISD Funding SRO70-30</t>
  </si>
  <si>
    <t xml:space="preserve">School Resource Officer  at 80-20 </t>
  </si>
  <si>
    <t>Second Resource Officer at 70-30</t>
  </si>
  <si>
    <t>Disregaurd</t>
  </si>
  <si>
    <t>FY22-23 ACTUTAL</t>
  </si>
  <si>
    <t>FY23-24 PROPOSED BUDGET</t>
  </si>
  <si>
    <t>FISCAL YEAR 2023-2024</t>
  </si>
  <si>
    <t>FY22-23 ACTUAL</t>
  </si>
  <si>
    <t>FY23-24 PROPOSED</t>
  </si>
  <si>
    <t>101 GENERAL FUND - CITY SECRETARY</t>
  </si>
  <si>
    <t>101 GENERAL FUND - MUNICIPAL COURT CLERK</t>
  </si>
  <si>
    <t>101 GENERAL FUND - PERMITTING CLERK</t>
  </si>
  <si>
    <t>101 GENERAL FUND - STREETS &amp; DRAINAGE</t>
  </si>
  <si>
    <t>TOTAL STREETS &amp; DRAINAGE</t>
  </si>
  <si>
    <t>101 GENERAL FUND - POLICE DEPARTMENT</t>
  </si>
  <si>
    <t>101 GENERAL FUND - SRO</t>
  </si>
  <si>
    <t>TOTAL SRO</t>
  </si>
  <si>
    <t>301 UTILITY FUND REVENUE</t>
  </si>
  <si>
    <t>304 UTILITY FUND - OPERATIONS</t>
  </si>
  <si>
    <t>304 UTILITY FUND - ADMINISTRATION</t>
  </si>
  <si>
    <t>304 UTILITY FUND - UTILITY CLERK</t>
  </si>
  <si>
    <t>301 UTILITY FUND - FINANCIAL SUMMARY</t>
  </si>
  <si>
    <t>% Change</t>
  </si>
  <si>
    <t>FY 22-23 APPROVED BUDGET</t>
  </si>
  <si>
    <t>Misd Funding SRO 70-30</t>
  </si>
  <si>
    <t xml:space="preserve"> </t>
  </si>
  <si>
    <t xml:space="preserve">PD Roof / Lab / UT Equipment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</si>
</sst>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u/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9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rgb="FF00B0F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/>
      <top/>
      <bottom style="slantDashDot">
        <color rgb="FFFF0000"/>
      </bottom>
      <diagonal/>
    </border>
    <border>
      <left style="slantDashDot">
        <color rgb="FFFF0000"/>
      </left>
      <right/>
      <top/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/>
      <right style="slantDashDot">
        <color rgb="FFFF0000"/>
      </right>
      <top/>
      <bottom style="slantDashDot">
        <color rgb="FFFF0000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90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42" fontId="1" fillId="0" borderId="0" xfId="0" applyNumberFormat="1" applyFont="1"/>
    <xf numFmtId="42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2" borderId="0" xfId="0" applyFont="1" applyFill="1"/>
    <xf numFmtId="42" fontId="2" fillId="2" borderId="0" xfId="0" applyNumberFormat="1" applyFont="1" applyFill="1"/>
    <xf numFmtId="42" fontId="2" fillId="0" borderId="0" xfId="0" applyNumberFormat="1" applyFont="1"/>
    <xf numFmtId="0" fontId="4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2" fontId="1" fillId="0" borderId="3" xfId="0" applyNumberFormat="1" applyFont="1" applyBorder="1"/>
    <xf numFmtId="42" fontId="1" fillId="0" borderId="4" xfId="0" applyNumberFormat="1" applyFont="1" applyBorder="1"/>
    <xf numFmtId="42" fontId="5" fillId="0" borderId="0" xfId="0" applyNumberFormat="1" applyFont="1"/>
    <xf numFmtId="42" fontId="6" fillId="0" borderId="0" xfId="0" applyNumberFormat="1" applyFont="1"/>
    <xf numFmtId="42" fontId="5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2" fontId="1" fillId="0" borderId="5" xfId="0" applyNumberFormat="1" applyFont="1" applyBorder="1"/>
    <xf numFmtId="0" fontId="2" fillId="0" borderId="0" xfId="0" applyFont="1" applyAlignment="1">
      <alignment horizontal="right" wrapText="1"/>
    </xf>
    <xf numFmtId="42" fontId="8" fillId="0" borderId="1" xfId="0" applyNumberFormat="1" applyFont="1" applyBorder="1"/>
    <xf numFmtId="0" fontId="9" fillId="0" borderId="0" xfId="0" applyFont="1"/>
    <xf numFmtId="42" fontId="9" fillId="0" borderId="0" xfId="0" applyNumberFormat="1" applyFont="1"/>
    <xf numFmtId="42" fontId="8" fillId="0" borderId="0" xfId="0" applyNumberFormat="1" applyFont="1"/>
    <xf numFmtId="0" fontId="8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3" fillId="0" borderId="0" xfId="0" applyFont="1"/>
    <xf numFmtId="0" fontId="10" fillId="5" borderId="1" xfId="0" applyFont="1" applyFill="1" applyBorder="1" applyAlignment="1">
      <alignment horizontal="center" wrapText="1"/>
    </xf>
    <xf numFmtId="0" fontId="12" fillId="7" borderId="0" xfId="0" applyFont="1" applyFill="1"/>
    <xf numFmtId="0" fontId="11" fillId="0" borderId="0" xfId="0" applyFont="1" applyAlignment="1">
      <alignment horizontal="left"/>
    </xf>
    <xf numFmtId="164" fontId="11" fillId="0" borderId="0" xfId="1" applyNumberFormat="1" applyFont="1" applyFill="1"/>
    <xf numFmtId="164" fontId="11" fillId="0" borderId="0" xfId="1" applyNumberFormat="1" applyFont="1"/>
    <xf numFmtId="164" fontId="11" fillId="4" borderId="0" xfId="1" applyNumberFormat="1" applyFont="1" applyFill="1"/>
    <xf numFmtId="164" fontId="11" fillId="5" borderId="0" xfId="1" applyNumberFormat="1" applyFont="1" applyFill="1"/>
    <xf numFmtId="0" fontId="11" fillId="0" borderId="1" xfId="0" applyFont="1" applyBorder="1" applyAlignment="1">
      <alignment horizontal="left"/>
    </xf>
    <xf numFmtId="164" fontId="11" fillId="0" borderId="1" xfId="1" applyNumberFormat="1" applyFont="1" applyFill="1" applyBorder="1"/>
    <xf numFmtId="164" fontId="11" fillId="0" borderId="1" xfId="1" applyNumberFormat="1" applyFont="1" applyBorder="1"/>
    <xf numFmtId="164" fontId="11" fillId="4" borderId="1" xfId="1" applyNumberFormat="1" applyFont="1" applyFill="1" applyBorder="1"/>
    <xf numFmtId="164" fontId="11" fillId="5" borderId="1" xfId="1" applyNumberFormat="1" applyFont="1" applyFill="1" applyBorder="1"/>
    <xf numFmtId="0" fontId="10" fillId="0" borderId="0" xfId="0" applyFont="1" applyAlignment="1">
      <alignment horizontal="right"/>
    </xf>
    <xf numFmtId="42" fontId="10" fillId="0" borderId="0" xfId="0" applyNumberFormat="1" applyFont="1"/>
    <xf numFmtId="42" fontId="10" fillId="4" borderId="0" xfId="0" applyNumberFormat="1" applyFont="1" applyFill="1"/>
    <xf numFmtId="42" fontId="10" fillId="5" borderId="0" xfId="0" applyNumberFormat="1" applyFont="1" applyFill="1"/>
    <xf numFmtId="0" fontId="11" fillId="4" borderId="0" xfId="0" applyFont="1" applyFill="1"/>
    <xf numFmtId="42" fontId="11" fillId="5" borderId="0" xfId="0" applyNumberFormat="1" applyFont="1" applyFill="1"/>
    <xf numFmtId="0" fontId="12" fillId="4" borderId="0" xfId="0" applyFont="1" applyFill="1"/>
    <xf numFmtId="0" fontId="10" fillId="4" borderId="0" xfId="0" applyFont="1" applyFill="1"/>
    <xf numFmtId="0" fontId="10" fillId="5" borderId="0" xfId="0" applyFont="1" applyFill="1"/>
    <xf numFmtId="164" fontId="12" fillId="7" borderId="0" xfId="0" applyNumberFormat="1" applyFont="1" applyFill="1"/>
    <xf numFmtId="164" fontId="11" fillId="0" borderId="0" xfId="1" applyNumberFormat="1" applyFont="1" applyFill="1" applyBorder="1"/>
    <xf numFmtId="164" fontId="11" fillId="4" borderId="0" xfId="1" applyNumberFormat="1" applyFont="1" applyFill="1" applyBorder="1"/>
    <xf numFmtId="164" fontId="11" fillId="5" borderId="0" xfId="1" applyNumberFormat="1" applyFont="1" applyFill="1" applyBorder="1"/>
    <xf numFmtId="0" fontId="11" fillId="0" borderId="1" xfId="0" applyFont="1" applyBorder="1"/>
    <xf numFmtId="42" fontId="12" fillId="7" borderId="0" xfId="0" applyNumberFormat="1" applyFont="1" applyFill="1"/>
    <xf numFmtId="42" fontId="12" fillId="4" borderId="0" xfId="0" applyNumberFormat="1" applyFont="1" applyFill="1"/>
    <xf numFmtId="42" fontId="12" fillId="0" borderId="0" xfId="0" applyNumberFormat="1" applyFont="1"/>
    <xf numFmtId="42" fontId="13" fillId="5" borderId="0" xfId="0" applyNumberFormat="1" applyFont="1" applyFill="1"/>
    <xf numFmtId="0" fontId="12" fillId="5" borderId="0" xfId="0" applyFont="1" applyFill="1"/>
    <xf numFmtId="42" fontId="10" fillId="0" borderId="1" xfId="0" applyNumberFormat="1" applyFont="1" applyBorder="1"/>
    <xf numFmtId="42" fontId="10" fillId="4" borderId="1" xfId="0" applyNumberFormat="1" applyFont="1" applyFill="1" applyBorder="1"/>
    <xf numFmtId="42" fontId="10" fillId="5" borderId="1" xfId="0" applyNumberFormat="1" applyFont="1" applyFill="1" applyBorder="1"/>
    <xf numFmtId="42" fontId="15" fillId="0" borderId="0" xfId="0" applyNumberFormat="1" applyFont="1"/>
    <xf numFmtId="42" fontId="15" fillId="4" borderId="0" xfId="0" applyNumberFormat="1" applyFont="1" applyFill="1"/>
    <xf numFmtId="42" fontId="15" fillId="5" borderId="0" xfId="0" applyNumberFormat="1" applyFont="1" applyFill="1"/>
    <xf numFmtId="164" fontId="12" fillId="0" borderId="0" xfId="0" applyNumberFormat="1" applyFont="1"/>
    <xf numFmtId="0" fontId="10" fillId="0" borderId="1" xfId="0" applyFont="1" applyBorder="1"/>
    <xf numFmtId="164" fontId="11" fillId="0" borderId="1" xfId="0" applyNumberFormat="1" applyFont="1" applyBorder="1" applyAlignment="1">
      <alignment horizontal="center" wrapText="1"/>
    </xf>
    <xf numFmtId="164" fontId="11" fillId="4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0" fillId="4" borderId="1" xfId="0" applyNumberFormat="1" applyFont="1" applyFill="1" applyBorder="1" applyAlignment="1">
      <alignment horizontal="center" wrapText="1"/>
    </xf>
    <xf numFmtId="164" fontId="10" fillId="5" borderId="1" xfId="0" applyNumberFormat="1" applyFont="1" applyFill="1" applyBorder="1" applyAlignment="1">
      <alignment horizontal="center" wrapText="1"/>
    </xf>
    <xf numFmtId="164" fontId="11" fillId="0" borderId="0" xfId="0" applyNumberFormat="1" applyFont="1"/>
    <xf numFmtId="164" fontId="11" fillId="4" borderId="0" xfId="0" applyNumberFormat="1" applyFont="1" applyFill="1"/>
    <xf numFmtId="164" fontId="12" fillId="4" borderId="0" xfId="0" applyNumberFormat="1" applyFont="1" applyFill="1"/>
    <xf numFmtId="164" fontId="12" fillId="5" borderId="0" xfId="0" applyNumberFormat="1" applyFont="1" applyFill="1"/>
    <xf numFmtId="0" fontId="16" fillId="0" borderId="0" xfId="0" applyFont="1"/>
    <xf numFmtId="41" fontId="11" fillId="0" borderId="0" xfId="0" applyNumberFormat="1" applyFont="1"/>
    <xf numFmtId="42" fontId="11" fillId="0" borderId="0" xfId="0" applyNumberFormat="1" applyFont="1"/>
    <xf numFmtId="164" fontId="11" fillId="5" borderId="0" xfId="0" applyNumberFormat="1" applyFont="1" applyFill="1"/>
    <xf numFmtId="164" fontId="17" fillId="0" borderId="0" xfId="0" applyNumberFormat="1" applyFont="1"/>
    <xf numFmtId="42" fontId="11" fillId="0" borderId="1" xfId="0" applyNumberFormat="1" applyFont="1" applyBorder="1"/>
    <xf numFmtId="164" fontId="11" fillId="0" borderId="1" xfId="0" applyNumberFormat="1" applyFont="1" applyBorder="1"/>
    <xf numFmtId="164" fontId="11" fillId="4" borderId="1" xfId="0" applyNumberFormat="1" applyFont="1" applyFill="1" applyBorder="1"/>
    <xf numFmtId="164" fontId="11" fillId="5" borderId="1" xfId="0" applyNumberFormat="1" applyFont="1" applyFill="1" applyBorder="1"/>
    <xf numFmtId="42" fontId="17" fillId="0" borderId="0" xfId="0" applyNumberFormat="1" applyFont="1"/>
    <xf numFmtId="164" fontId="18" fillId="0" borderId="1" xfId="0" applyNumberFormat="1" applyFont="1" applyBorder="1"/>
    <xf numFmtId="164" fontId="18" fillId="4" borderId="1" xfId="0" applyNumberFormat="1" applyFont="1" applyFill="1" applyBorder="1"/>
    <xf numFmtId="164" fontId="18" fillId="0" borderId="0" xfId="0" applyNumberFormat="1" applyFont="1"/>
    <xf numFmtId="164" fontId="18" fillId="4" borderId="0" xfId="0" applyNumberFormat="1" applyFont="1" applyFill="1"/>
    <xf numFmtId="164" fontId="18" fillId="5" borderId="0" xfId="0" applyNumberFormat="1" applyFont="1" applyFill="1"/>
    <xf numFmtId="164" fontId="18" fillId="5" borderId="1" xfId="0" applyNumberFormat="1" applyFont="1" applyFill="1" applyBorder="1"/>
    <xf numFmtId="0" fontId="12" fillId="7" borderId="1" xfId="0" applyFont="1" applyFill="1" applyBorder="1"/>
    <xf numFmtId="0" fontId="10" fillId="2" borderId="0" xfId="0" applyFont="1" applyFill="1"/>
    <xf numFmtId="42" fontId="10" fillId="2" borderId="0" xfId="0" applyNumberFormat="1" applyFont="1" applyFill="1"/>
    <xf numFmtId="164" fontId="10" fillId="2" borderId="0" xfId="0" applyNumberFormat="1" applyFont="1" applyFill="1"/>
    <xf numFmtId="164" fontId="10" fillId="4" borderId="0" xfId="0" applyNumberFormat="1" applyFont="1" applyFill="1"/>
    <xf numFmtId="164" fontId="11" fillId="3" borderId="0" xfId="0" applyNumberFormat="1" applyFont="1" applyFill="1"/>
    <xf numFmtId="164" fontId="10" fillId="0" borderId="0" xfId="0" applyNumberFormat="1" applyFont="1"/>
    <xf numFmtId="164" fontId="10" fillId="5" borderId="0" xfId="0" applyNumberFormat="1" applyFont="1" applyFill="1"/>
    <xf numFmtId="42" fontId="10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12" fillId="0" borderId="0" xfId="0" applyNumberFormat="1" applyFont="1"/>
    <xf numFmtId="164" fontId="12" fillId="0" borderId="0" xfId="1" applyNumberFormat="1" applyFont="1"/>
    <xf numFmtId="41" fontId="11" fillId="0" borderId="1" xfId="0" applyNumberFormat="1" applyFont="1" applyBorder="1" applyAlignment="1">
      <alignment horizontal="center" wrapText="1"/>
    </xf>
    <xf numFmtId="164" fontId="11" fillId="4" borderId="1" xfId="1" applyNumberFormat="1" applyFont="1" applyFill="1" applyBorder="1" applyAlignment="1">
      <alignment horizontal="center" wrapText="1"/>
    </xf>
    <xf numFmtId="41" fontId="10" fillId="0" borderId="1" xfId="0" applyNumberFormat="1" applyFont="1" applyBorder="1" applyAlignment="1">
      <alignment horizontal="center" wrapText="1"/>
    </xf>
    <xf numFmtId="41" fontId="10" fillId="4" borderId="1" xfId="0" applyNumberFormat="1" applyFont="1" applyFill="1" applyBorder="1" applyAlignment="1">
      <alignment horizontal="center" wrapText="1"/>
    </xf>
    <xf numFmtId="41" fontId="10" fillId="5" borderId="1" xfId="0" applyNumberFormat="1" applyFont="1" applyFill="1" applyBorder="1" applyAlignment="1">
      <alignment horizontal="center" wrapText="1"/>
    </xf>
    <xf numFmtId="41" fontId="11" fillId="0" borderId="1" xfId="0" applyNumberFormat="1" applyFont="1" applyBorder="1"/>
    <xf numFmtId="42" fontId="11" fillId="4" borderId="0" xfId="1" applyNumberFormat="1" applyFont="1" applyFill="1"/>
    <xf numFmtId="42" fontId="11" fillId="5" borderId="0" xfId="1" applyNumberFormat="1" applyFont="1" applyFill="1"/>
    <xf numFmtId="3" fontId="11" fillId="0" borderId="0" xfId="0" applyNumberFormat="1" applyFont="1"/>
    <xf numFmtId="42" fontId="11" fillId="4" borderId="0" xfId="0" applyNumberFormat="1" applyFont="1" applyFill="1"/>
    <xf numFmtId="164" fontId="12" fillId="4" borderId="0" xfId="1" applyNumberFormat="1" applyFont="1" applyFill="1"/>
    <xf numFmtId="164" fontId="12" fillId="5" borderId="0" xfId="1" applyNumberFormat="1" applyFont="1" applyFill="1"/>
    <xf numFmtId="44" fontId="11" fillId="0" borderId="0" xfId="0" applyNumberFormat="1" applyFont="1"/>
    <xf numFmtId="43" fontId="11" fillId="4" borderId="0" xfId="1" applyFont="1" applyFill="1"/>
    <xf numFmtId="0" fontId="16" fillId="0" borderId="0" xfId="0" applyFont="1" applyAlignment="1">
      <alignment horizontal="left"/>
    </xf>
    <xf numFmtId="41" fontId="11" fillId="3" borderId="1" xfId="0" applyNumberFormat="1" applyFont="1" applyFill="1" applyBorder="1"/>
    <xf numFmtId="41" fontId="10" fillId="6" borderId="0" xfId="0" applyNumberFormat="1" applyFont="1" applyFill="1" applyAlignment="1">
      <alignment horizontal="center" wrapText="1"/>
    </xf>
    <xf numFmtId="41" fontId="11" fillId="4" borderId="0" xfId="0" applyNumberFormat="1" applyFont="1" applyFill="1"/>
    <xf numFmtId="41" fontId="12" fillId="4" borderId="0" xfId="0" applyNumberFormat="1" applyFont="1" applyFill="1"/>
    <xf numFmtId="41" fontId="11" fillId="5" borderId="0" xfId="0" applyNumberFormat="1" applyFont="1" applyFill="1"/>
    <xf numFmtId="41" fontId="11" fillId="6" borderId="0" xfId="0" applyNumberFormat="1" applyFont="1" applyFill="1"/>
    <xf numFmtId="0" fontId="10" fillId="0" borderId="0" xfId="0" quotePrefix="1" applyFont="1" applyAlignment="1">
      <alignment horizontal="right"/>
    </xf>
    <xf numFmtId="41" fontId="12" fillId="5" borderId="0" xfId="0" applyNumberFormat="1" applyFont="1" applyFill="1"/>
    <xf numFmtId="41" fontId="12" fillId="6" borderId="0" xfId="0" applyNumberFormat="1" applyFont="1" applyFill="1"/>
    <xf numFmtId="41" fontId="11" fillId="4" borderId="1" xfId="0" applyNumberFormat="1" applyFont="1" applyFill="1" applyBorder="1"/>
    <xf numFmtId="41" fontId="12" fillId="0" borderId="1" xfId="0" applyNumberFormat="1" applyFont="1" applyBorder="1"/>
    <xf numFmtId="41" fontId="11" fillId="5" borderId="1" xfId="0" applyNumberFormat="1" applyFont="1" applyFill="1" applyBorder="1"/>
    <xf numFmtId="41" fontId="11" fillId="6" borderId="1" xfId="0" applyNumberFormat="1" applyFont="1" applyFill="1" applyBorder="1"/>
    <xf numFmtId="42" fontId="11" fillId="6" borderId="0" xfId="0" applyNumberFormat="1" applyFont="1" applyFill="1"/>
    <xf numFmtId="49" fontId="11" fillId="0" borderId="0" xfId="0" applyNumberFormat="1" applyFont="1"/>
    <xf numFmtId="41" fontId="17" fillId="0" borderId="0" xfId="0" applyNumberFormat="1" applyFont="1"/>
    <xf numFmtId="41" fontId="18" fillId="4" borderId="1" xfId="0" applyNumberFormat="1" applyFont="1" applyFill="1" applyBorder="1"/>
    <xf numFmtId="49" fontId="11" fillId="4" borderId="0" xfId="0" applyNumberFormat="1" applyFont="1" applyFill="1"/>
    <xf numFmtId="42" fontId="11" fillId="4" borderId="1" xfId="0" applyNumberFormat="1" applyFont="1" applyFill="1" applyBorder="1"/>
    <xf numFmtId="0" fontId="11" fillId="4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42" fontId="10" fillId="6" borderId="0" xfId="0" applyNumberFormat="1" applyFont="1" applyFill="1"/>
    <xf numFmtId="41" fontId="10" fillId="0" borderId="0" xfId="0" applyNumberFormat="1" applyFont="1"/>
    <xf numFmtId="0" fontId="19" fillId="0" borderId="0" xfId="0" applyFont="1"/>
    <xf numFmtId="0" fontId="13" fillId="6" borderId="0" xfId="0" applyFont="1" applyFill="1"/>
    <xf numFmtId="0" fontId="12" fillId="6" borderId="0" xfId="0" applyFont="1" applyFill="1"/>
    <xf numFmtId="41" fontId="10" fillId="2" borderId="0" xfId="0" applyNumberFormat="1" applyFont="1" applyFill="1"/>
    <xf numFmtId="164" fontId="20" fillId="0" borderId="0" xfId="1" applyNumberFormat="1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3" fillId="7" borderId="0" xfId="0" applyFont="1" applyFill="1"/>
    <xf numFmtId="0" fontId="11" fillId="4" borderId="1" xfId="0" applyFont="1" applyFill="1" applyBorder="1" applyAlignment="1">
      <alignment horizontal="center" wrapText="1"/>
    </xf>
    <xf numFmtId="0" fontId="11" fillId="3" borderId="0" xfId="0" applyFont="1" applyFill="1"/>
    <xf numFmtId="42" fontId="11" fillId="3" borderId="1" xfId="0" applyNumberFormat="1" applyFont="1" applyFill="1" applyBorder="1"/>
    <xf numFmtId="42" fontId="14" fillId="0" borderId="0" xfId="0" applyNumberFormat="1" applyFont="1"/>
    <xf numFmtId="49" fontId="11" fillId="3" borderId="0" xfId="0" applyNumberFormat="1" applyFont="1" applyFill="1"/>
    <xf numFmtId="41" fontId="17" fillId="4" borderId="0" xfId="0" applyNumberFormat="1" applyFont="1" applyFill="1"/>
    <xf numFmtId="41" fontId="11" fillId="4" borderId="1" xfId="0" applyNumberFormat="1" applyFont="1" applyFill="1" applyBorder="1" applyAlignment="1">
      <alignment horizontal="center" wrapText="1"/>
    </xf>
    <xf numFmtId="41" fontId="11" fillId="3" borderId="0" xfId="0" applyNumberFormat="1" applyFont="1" applyFill="1"/>
    <xf numFmtId="49" fontId="11" fillId="4" borderId="0" xfId="0" applyNumberFormat="1" applyFont="1" applyFill="1" applyAlignment="1">
      <alignment horizontal="left"/>
    </xf>
    <xf numFmtId="42" fontId="11" fillId="4" borderId="0" xfId="0" applyNumberFormat="1" applyFont="1" applyFill="1" applyAlignment="1">
      <alignment horizontal="left"/>
    </xf>
    <xf numFmtId="0" fontId="11" fillId="0" borderId="0" xfId="0" applyFont="1" applyAlignment="1">
      <alignment horizontal="right"/>
    </xf>
    <xf numFmtId="42" fontId="10" fillId="0" borderId="0" xfId="0" applyNumberFormat="1" applyFont="1" applyAlignment="1">
      <alignment horizontal="right"/>
    </xf>
    <xf numFmtId="165" fontId="12" fillId="0" borderId="0" xfId="2" applyNumberFormat="1" applyFont="1"/>
    <xf numFmtId="41" fontId="11" fillId="8" borderId="0" xfId="0" applyNumberFormat="1" applyFont="1" applyFill="1"/>
    <xf numFmtId="41" fontId="11" fillId="8" borderId="1" xfId="0" applyNumberFormat="1" applyFont="1" applyFill="1" applyBorder="1"/>
    <xf numFmtId="5" fontId="12" fillId="0" borderId="0" xfId="0" applyNumberFormat="1" applyFont="1"/>
    <xf numFmtId="0" fontId="12" fillId="3" borderId="0" xfId="0" applyFont="1" applyFill="1"/>
    <xf numFmtId="41" fontId="12" fillId="3" borderId="0" xfId="0" applyNumberFormat="1" applyFont="1" applyFill="1"/>
    <xf numFmtId="0" fontId="23" fillId="0" borderId="0" xfId="0" applyFont="1"/>
    <xf numFmtId="0" fontId="24" fillId="3" borderId="0" xfId="0" applyFont="1" applyFill="1"/>
    <xf numFmtId="41" fontId="24" fillId="3" borderId="0" xfId="0" applyNumberFormat="1" applyFont="1" applyFill="1"/>
    <xf numFmtId="17" fontId="12" fillId="3" borderId="0" xfId="0" applyNumberFormat="1" applyFont="1" applyFill="1"/>
    <xf numFmtId="0" fontId="24" fillId="0" borderId="0" xfId="0" applyFont="1"/>
    <xf numFmtId="17" fontId="24" fillId="3" borderId="0" xfId="0" applyNumberFormat="1" applyFont="1" applyFill="1"/>
    <xf numFmtId="41" fontId="24" fillId="0" borderId="0" xfId="0" applyNumberFormat="1" applyFont="1"/>
    <xf numFmtId="165" fontId="24" fillId="3" borderId="0" xfId="2" applyNumberFormat="1" applyFont="1" applyFill="1"/>
    <xf numFmtId="41" fontId="13" fillId="0" borderId="0" xfId="0" applyNumberFormat="1" applyFont="1"/>
    <xf numFmtId="0" fontId="13" fillId="3" borderId="0" xfId="0" applyFont="1" applyFill="1"/>
    <xf numFmtId="41" fontId="13" fillId="3" borderId="0" xfId="0" applyNumberFormat="1" applyFont="1" applyFill="1"/>
    <xf numFmtId="0" fontId="24" fillId="8" borderId="0" xfId="0" applyFont="1" applyFill="1"/>
    <xf numFmtId="0" fontId="12" fillId="0" borderId="6" xfId="0" applyFont="1" applyBorder="1"/>
    <xf numFmtId="0" fontId="12" fillId="0" borderId="9" xfId="0" applyFont="1" applyBorder="1"/>
    <xf numFmtId="41" fontId="10" fillId="9" borderId="1" xfId="0" applyNumberFormat="1" applyFont="1" applyFill="1" applyBorder="1" applyAlignment="1">
      <alignment horizontal="center" wrapText="1"/>
    </xf>
    <xf numFmtId="0" fontId="12" fillId="9" borderId="0" xfId="0" applyFont="1" applyFill="1"/>
    <xf numFmtId="41" fontId="11" fillId="9" borderId="0" xfId="0" applyNumberFormat="1" applyFont="1" applyFill="1"/>
    <xf numFmtId="41" fontId="11" fillId="9" borderId="1" xfId="0" applyNumberFormat="1" applyFont="1" applyFill="1" applyBorder="1"/>
    <xf numFmtId="42" fontId="11" fillId="9" borderId="0" xfId="0" applyNumberFormat="1" applyFont="1" applyFill="1"/>
    <xf numFmtId="42" fontId="10" fillId="9" borderId="0" xfId="0" applyNumberFormat="1" applyFont="1" applyFill="1"/>
    <xf numFmtId="42" fontId="15" fillId="9" borderId="0" xfId="0" applyNumberFormat="1" applyFont="1" applyFill="1"/>
    <xf numFmtId="41" fontId="12" fillId="9" borderId="0" xfId="0" applyNumberFormat="1" applyFont="1" applyFill="1"/>
    <xf numFmtId="41" fontId="10" fillId="9" borderId="0" xfId="0" applyNumberFormat="1" applyFont="1" applyFill="1"/>
    <xf numFmtId="164" fontId="11" fillId="9" borderId="0" xfId="0" applyNumberFormat="1" applyFont="1" applyFill="1"/>
    <xf numFmtId="0" fontId="10" fillId="9" borderId="1" xfId="0" applyFont="1" applyFill="1" applyBorder="1" applyAlignment="1">
      <alignment horizontal="center" wrapText="1"/>
    </xf>
    <xf numFmtId="164" fontId="11" fillId="9" borderId="0" xfId="1" applyNumberFormat="1" applyFont="1" applyFill="1"/>
    <xf numFmtId="164" fontId="11" fillId="9" borderId="1" xfId="1" applyNumberFormat="1" applyFont="1" applyFill="1" applyBorder="1"/>
    <xf numFmtId="164" fontId="11" fillId="9" borderId="0" xfId="1" applyNumberFormat="1" applyFont="1" applyFill="1" applyBorder="1"/>
    <xf numFmtId="42" fontId="10" fillId="9" borderId="1" xfId="0" applyNumberFormat="1" applyFont="1" applyFill="1" applyBorder="1"/>
    <xf numFmtId="43" fontId="12" fillId="0" borderId="0" xfId="0" applyNumberFormat="1" applyFont="1"/>
    <xf numFmtId="9" fontId="12" fillId="0" borderId="0" xfId="0" applyNumberFormat="1" applyFont="1"/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vertical="top"/>
    </xf>
    <xf numFmtId="166" fontId="11" fillId="0" borderId="0" xfId="0" applyNumberFormat="1" applyFont="1"/>
    <xf numFmtId="166" fontId="12" fillId="0" borderId="0" xfId="0" applyNumberFormat="1" applyFont="1"/>
    <xf numFmtId="0" fontId="27" fillId="0" borderId="0" xfId="0" applyFont="1" applyAlignment="1">
      <alignment horizontal="left"/>
    </xf>
    <xf numFmtId="0" fontId="27" fillId="0" borderId="0" xfId="0" applyFont="1"/>
    <xf numFmtId="0" fontId="10" fillId="0" borderId="0" xfId="0" applyFont="1" applyAlignment="1">
      <alignment wrapText="1"/>
    </xf>
    <xf numFmtId="44" fontId="11" fillId="0" borderId="1" xfId="0" applyNumberFormat="1" applyFont="1" applyBorder="1"/>
    <xf numFmtId="165" fontId="11" fillId="0" borderId="0" xfId="0" applyNumberFormat="1" applyFont="1"/>
    <xf numFmtId="165" fontId="11" fillId="0" borderId="1" xfId="0" applyNumberFormat="1" applyFont="1" applyBorder="1"/>
    <xf numFmtId="0" fontId="10" fillId="3" borderId="0" xfId="0" applyFont="1" applyFill="1" applyAlignment="1">
      <alignment horizontal="right"/>
    </xf>
    <xf numFmtId="165" fontId="10" fillId="0" borderId="0" xfId="0" applyNumberFormat="1" applyFont="1"/>
    <xf numFmtId="0" fontId="11" fillId="3" borderId="0" xfId="0" applyFont="1" applyFill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2" fillId="0" borderId="4" xfId="0" applyFont="1" applyBorder="1"/>
    <xf numFmtId="165" fontId="11" fillId="0" borderId="4" xfId="0" applyNumberFormat="1" applyFont="1" applyBorder="1"/>
    <xf numFmtId="165" fontId="11" fillId="0" borderId="5" xfId="0" applyNumberFormat="1" applyFont="1" applyBorder="1"/>
    <xf numFmtId="165" fontId="10" fillId="0" borderId="4" xfId="0" applyNumberFormat="1" applyFont="1" applyBorder="1"/>
    <xf numFmtId="0" fontId="11" fillId="0" borderId="4" xfId="0" applyFont="1" applyBorder="1"/>
    <xf numFmtId="165" fontId="11" fillId="0" borderId="0" xfId="1" applyNumberFormat="1" applyFont="1" applyFill="1"/>
    <xf numFmtId="165" fontId="11" fillId="0" borderId="1" xfId="1" applyNumberFormat="1" applyFont="1" applyFill="1" applyBorder="1"/>
    <xf numFmtId="165" fontId="11" fillId="0" borderId="0" xfId="1" applyNumberFormat="1" applyFont="1" applyFill="1" applyBorder="1"/>
    <xf numFmtId="165" fontId="10" fillId="0" borderId="1" xfId="0" applyNumberFormat="1" applyFont="1" applyBorder="1"/>
    <xf numFmtId="165" fontId="15" fillId="0" borderId="0" xfId="0" applyNumberFormat="1" applyFont="1"/>
    <xf numFmtId="165" fontId="18" fillId="0" borderId="0" xfId="0" applyNumberFormat="1" applyFont="1"/>
    <xf numFmtId="165" fontId="18" fillId="0" borderId="1" xfId="0" applyNumberFormat="1" applyFont="1" applyBorder="1"/>
    <xf numFmtId="165" fontId="10" fillId="2" borderId="0" xfId="0" applyNumberFormat="1" applyFont="1" applyFill="1"/>
    <xf numFmtId="41" fontId="10" fillId="0" borderId="0" xfId="0" applyNumberFormat="1" applyFont="1" applyAlignment="1">
      <alignment horizontal="center" wrapText="1"/>
    </xf>
    <xf numFmtId="41" fontId="10" fillId="0" borderId="5" xfId="0" applyNumberFormat="1" applyFont="1" applyBorder="1" applyAlignment="1">
      <alignment horizontal="center" wrapText="1"/>
    </xf>
    <xf numFmtId="165" fontId="10" fillId="2" borderId="4" xfId="0" applyNumberFormat="1" applyFont="1" applyFill="1" applyBorder="1"/>
    <xf numFmtId="165" fontId="12" fillId="0" borderId="0" xfId="0" applyNumberFormat="1" applyFont="1"/>
    <xf numFmtId="0" fontId="12" fillId="2" borderId="0" xfId="0" applyFont="1" applyFill="1"/>
    <xf numFmtId="42" fontId="10" fillId="2" borderId="0" xfId="2" applyNumberFormat="1" applyFont="1" applyFill="1"/>
    <xf numFmtId="165" fontId="10" fillId="2" borderId="0" xfId="2" applyNumberFormat="1" applyFont="1" applyFill="1"/>
    <xf numFmtId="165" fontId="10" fillId="2" borderId="4" xfId="2" applyNumberFormat="1" applyFont="1" applyFill="1" applyBorder="1"/>
    <xf numFmtId="0" fontId="11" fillId="2" borderId="4" xfId="0" applyFont="1" applyFill="1" applyBorder="1"/>
    <xf numFmtId="165" fontId="11" fillId="2" borderId="4" xfId="0" applyNumberFormat="1" applyFont="1" applyFill="1" applyBorder="1"/>
    <xf numFmtId="42" fontId="10" fillId="2" borderId="4" xfId="0" applyNumberFormat="1" applyFont="1" applyFill="1" applyBorder="1"/>
    <xf numFmtId="165" fontId="1" fillId="0" borderId="0" xfId="0" applyNumberFormat="1" applyFont="1"/>
    <xf numFmtId="165" fontId="1" fillId="0" borderId="1" xfId="0" applyNumberFormat="1" applyFont="1" applyBorder="1"/>
    <xf numFmtId="165" fontId="2" fillId="0" borderId="0" xfId="0" applyNumberFormat="1" applyFont="1"/>
    <xf numFmtId="42" fontId="10" fillId="3" borderId="0" xfId="0" applyNumberFormat="1" applyFont="1" applyFill="1" applyAlignment="1">
      <alignment horizontal="left"/>
    </xf>
    <xf numFmtId="42" fontId="11" fillId="3" borderId="0" xfId="0" applyNumberFormat="1" applyFont="1" applyFill="1"/>
    <xf numFmtId="165" fontId="10" fillId="3" borderId="0" xfId="0" applyNumberFormat="1" applyFont="1" applyFill="1" applyAlignment="1">
      <alignment horizontal="left"/>
    </xf>
    <xf numFmtId="165" fontId="10" fillId="3" borderId="4" xfId="0" applyNumberFormat="1" applyFont="1" applyFill="1" applyBorder="1" applyAlignment="1">
      <alignment horizontal="left"/>
    </xf>
    <xf numFmtId="0" fontId="10" fillId="2" borderId="5" xfId="0" applyFont="1" applyFill="1" applyBorder="1" applyAlignment="1">
      <alignment horizontal="center" wrapText="1"/>
    </xf>
    <xf numFmtId="165" fontId="11" fillId="2" borderId="5" xfId="0" applyNumberFormat="1" applyFont="1" applyFill="1" applyBorder="1"/>
    <xf numFmtId="10" fontId="11" fillId="0" borderId="0" xfId="3" applyNumberFormat="1" applyFont="1"/>
    <xf numFmtId="10" fontId="11" fillId="0" borderId="1" xfId="3" applyNumberFormat="1" applyFont="1" applyBorder="1"/>
    <xf numFmtId="10" fontId="10" fillId="0" borderId="0" xfId="3" applyNumberFormat="1" applyFont="1"/>
    <xf numFmtId="0" fontId="10" fillId="3" borderId="0" xfId="0" applyFont="1" applyFill="1"/>
    <xf numFmtId="165" fontId="11" fillId="3" borderId="0" xfId="0" applyNumberFormat="1" applyFont="1" applyFill="1"/>
    <xf numFmtId="165" fontId="14" fillId="0" borderId="0" xfId="0" applyNumberFormat="1" applyFont="1"/>
    <xf numFmtId="165" fontId="14" fillId="2" borderId="4" xfId="0" applyNumberFormat="1" applyFont="1" applyFill="1" applyBorder="1"/>
    <xf numFmtId="0" fontId="10" fillId="8" borderId="0" xfId="0" applyFont="1" applyFill="1"/>
    <xf numFmtId="0" fontId="13" fillId="8" borderId="0" xfId="0" applyFont="1" applyFill="1"/>
    <xf numFmtId="0" fontId="12" fillId="8" borderId="0" xfId="0" applyFont="1" applyFill="1"/>
    <xf numFmtId="0" fontId="25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2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right"/>
    </xf>
    <xf numFmtId="0" fontId="13" fillId="3" borderId="0" xfId="0" applyFont="1" applyFill="1" applyAlignment="1">
      <alignment horizontal="center"/>
    </xf>
    <xf numFmtId="0" fontId="11" fillId="8" borderId="0" xfId="0" applyFont="1" applyFill="1"/>
    <xf numFmtId="0" fontId="10" fillId="8" borderId="0" xfId="0" applyFont="1" applyFill="1" applyAlignment="1">
      <alignment horizontal="left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G31"/>
  <sheetViews>
    <sheetView tabSelected="1" zoomScale="90" zoomScaleNormal="90" workbookViewId="0">
      <selection activeCell="R29" sqref="R29"/>
    </sheetView>
  </sheetViews>
  <sheetFormatPr defaultColWidth="9.140625" defaultRowHeight="15.75" x14ac:dyDescent="0.25"/>
  <cols>
    <col min="1" max="1" width="35.42578125" style="34" bestFit="1" customWidth="1"/>
    <col min="2" max="7" width="14.28515625" style="34" hidden="1" customWidth="1"/>
    <col min="8" max="8" width="15.140625" style="34" hidden="1" customWidth="1"/>
    <col min="9" max="9" width="14.5703125" style="34" hidden="1" customWidth="1"/>
    <col min="10" max="10" width="13.85546875" style="34" hidden="1" customWidth="1"/>
    <col min="11" max="11" width="2.85546875" style="34" hidden="1" customWidth="1"/>
    <col min="12" max="12" width="16" style="34" customWidth="1"/>
    <col min="13" max="13" width="12.7109375" style="34" bestFit="1" customWidth="1"/>
    <col min="14" max="14" width="14.140625" style="34" customWidth="1"/>
    <col min="15" max="15" width="11" style="33" customWidth="1"/>
    <col min="16" max="16384" width="9.140625" style="34"/>
  </cols>
  <sheetData>
    <row r="1" spans="1:33" ht="18" customHeight="1" x14ac:dyDescent="0.25">
      <c r="A1" s="32" t="s">
        <v>563</v>
      </c>
      <c r="B1" s="32"/>
      <c r="C1" s="32"/>
      <c r="D1" s="32"/>
      <c r="E1" s="32"/>
      <c r="F1" s="271" t="s">
        <v>674</v>
      </c>
      <c r="G1" s="272"/>
      <c r="H1" s="272"/>
      <c r="I1" s="273"/>
    </row>
    <row r="2" spans="1:33" ht="16.5" thickBot="1" x14ac:dyDescent="0.3">
      <c r="A2" s="32" t="s">
        <v>564</v>
      </c>
      <c r="B2" s="32"/>
      <c r="C2" s="32"/>
      <c r="D2" s="32"/>
      <c r="E2" s="32"/>
      <c r="F2" s="274"/>
      <c r="G2" s="275"/>
      <c r="H2" s="275"/>
      <c r="I2" s="276"/>
    </row>
    <row r="3" spans="1:33" x14ac:dyDescent="0.25">
      <c r="A3" s="32" t="s">
        <v>686</v>
      </c>
      <c r="B3" s="32"/>
      <c r="C3" s="32"/>
      <c r="D3" s="32"/>
      <c r="E3" s="32"/>
      <c r="F3" s="32"/>
      <c r="G3" s="32"/>
      <c r="H3" s="32"/>
      <c r="I3" s="32"/>
    </row>
    <row r="4" spans="1:33" hidden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33" hidden="1" x14ac:dyDescent="0.25">
      <c r="A5" s="215" t="s">
        <v>677</v>
      </c>
      <c r="B5" s="35"/>
      <c r="C5" s="35"/>
      <c r="D5" s="35"/>
      <c r="E5" s="214">
        <v>0.03</v>
      </c>
      <c r="F5" s="218" t="s">
        <v>679</v>
      </c>
      <c r="G5" s="35"/>
      <c r="H5" s="35"/>
      <c r="I5" s="35"/>
    </row>
    <row r="6" spans="1:33" hidden="1" x14ac:dyDescent="0.25">
      <c r="A6" s="39" t="s">
        <v>676</v>
      </c>
      <c r="B6" s="33"/>
      <c r="C6" s="33"/>
      <c r="D6" s="33"/>
      <c r="E6" s="214">
        <v>0.04</v>
      </c>
      <c r="F6" s="219" t="s">
        <v>678</v>
      </c>
      <c r="G6" s="33"/>
      <c r="H6" s="33"/>
      <c r="I6" s="33"/>
    </row>
    <row r="7" spans="1:33" hidden="1" x14ac:dyDescent="0.25">
      <c r="A7" s="35"/>
      <c r="B7" s="35"/>
      <c r="C7" s="35"/>
      <c r="D7" s="35"/>
      <c r="E7" s="35"/>
      <c r="F7" s="35"/>
      <c r="G7" s="35"/>
      <c r="H7" s="35"/>
      <c r="I7" s="35"/>
    </row>
    <row r="8" spans="1:33" ht="51" customHeight="1" thickBot="1" x14ac:dyDescent="0.3">
      <c r="A8" s="39" t="s">
        <v>0</v>
      </c>
      <c r="B8" s="36" t="s">
        <v>1</v>
      </c>
      <c r="C8" s="37" t="s">
        <v>566</v>
      </c>
      <c r="D8" s="38" t="s">
        <v>567</v>
      </c>
      <c r="E8" s="37" t="s">
        <v>568</v>
      </c>
      <c r="F8" s="38" t="s">
        <v>569</v>
      </c>
      <c r="G8" s="37" t="s">
        <v>570</v>
      </c>
      <c r="H8" s="41" t="s">
        <v>667</v>
      </c>
      <c r="I8" s="37" t="s">
        <v>666</v>
      </c>
      <c r="J8" s="207" t="s">
        <v>668</v>
      </c>
      <c r="K8" s="42"/>
      <c r="L8" s="120" t="s">
        <v>703</v>
      </c>
      <c r="M8" s="37" t="s">
        <v>687</v>
      </c>
      <c r="N8" s="259" t="s">
        <v>685</v>
      </c>
      <c r="O8" s="37" t="s">
        <v>702</v>
      </c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9"/>
      <c r="AE8" s="269"/>
      <c r="AF8" s="270"/>
      <c r="AG8" s="270"/>
    </row>
    <row r="9" spans="1:33" x14ac:dyDescent="0.25">
      <c r="A9" s="43" t="s">
        <v>5</v>
      </c>
      <c r="B9" s="44">
        <f>'GF - REVENUE'!C115</f>
        <v>812793.03</v>
      </c>
      <c r="C9" s="45">
        <f>'GF - REVENUE'!D115</f>
        <v>532668</v>
      </c>
      <c r="D9" s="46">
        <f>'GF - REVENUE'!E115</f>
        <v>699737.7</v>
      </c>
      <c r="E9" s="44">
        <v>636398</v>
      </c>
      <c r="F9" s="46">
        <v>984064.8</v>
      </c>
      <c r="G9" s="44">
        <v>672111</v>
      </c>
      <c r="H9" s="47">
        <f>+'GF - SUMMARY'!I16</f>
        <v>759972.75999999989</v>
      </c>
      <c r="I9" s="44">
        <f>'GF - SUMMARY'!J16</f>
        <v>820464</v>
      </c>
      <c r="J9" s="208">
        <f>+I9</f>
        <v>820464</v>
      </c>
      <c r="K9" s="42"/>
      <c r="L9" s="233">
        <f>'GF - SUMMARY'!M16</f>
        <v>1019488.1000000001</v>
      </c>
      <c r="M9" s="222">
        <f>'GF - SUMMARY'!N16</f>
        <v>62873</v>
      </c>
      <c r="N9" s="250">
        <f>'GF - SUMMARY'!O16</f>
        <v>1104743.8430000001</v>
      </c>
      <c r="O9" s="261">
        <f>((N9-L9)/L9)</f>
        <v>8.3626030553961353E-2</v>
      </c>
    </row>
    <row r="10" spans="1:33" ht="16.5" thickBot="1" x14ac:dyDescent="0.3">
      <c r="A10" s="48" t="s">
        <v>6</v>
      </c>
      <c r="B10" s="49">
        <f>'UF - REVENUE'!C38</f>
        <v>951732</v>
      </c>
      <c r="C10" s="50">
        <f>'UF - REVENUE'!D38</f>
        <v>1011193</v>
      </c>
      <c r="D10" s="51">
        <f>'UF - REVENUE'!E38</f>
        <v>971844.99</v>
      </c>
      <c r="E10" s="49">
        <v>967449</v>
      </c>
      <c r="F10" s="51">
        <v>989140.19000000006</v>
      </c>
      <c r="G10" s="49">
        <v>968249</v>
      </c>
      <c r="H10" s="52">
        <f>+'UF -SUMMARY'!H15</f>
        <v>1073158.06</v>
      </c>
      <c r="I10" s="49">
        <f>'UF -SUMMARY'!I15</f>
        <v>1153510.2</v>
      </c>
      <c r="J10" s="209">
        <f>'UF -SUMMARY'!J15</f>
        <v>640661</v>
      </c>
      <c r="K10" s="42"/>
      <c r="L10" s="234">
        <f>'UF -SUMMARY'!L15</f>
        <v>1152699.5</v>
      </c>
      <c r="M10" s="223">
        <f>'UF -SUMMARY'!M15</f>
        <v>0</v>
      </c>
      <c r="N10" s="260">
        <f>'UF -SUMMARY'!N15</f>
        <v>1053676.5</v>
      </c>
      <c r="O10" s="262">
        <f>((N10-L10)/L10)</f>
        <v>-8.5905303160103738E-2</v>
      </c>
    </row>
    <row r="11" spans="1:33" x14ac:dyDescent="0.25">
      <c r="A11" s="53" t="s">
        <v>7</v>
      </c>
      <c r="B11" s="54">
        <f t="shared" ref="B11:H11" si="0">SUM(B9:B10)</f>
        <v>1764525.03</v>
      </c>
      <c r="C11" s="54">
        <f t="shared" si="0"/>
        <v>1543861</v>
      </c>
      <c r="D11" s="55">
        <f t="shared" ref="D11" si="1">SUM(D9:D10)</f>
        <v>1671582.69</v>
      </c>
      <c r="E11" s="54">
        <v>1603847</v>
      </c>
      <c r="F11" s="55">
        <v>1973204.9900000002</v>
      </c>
      <c r="G11" s="54">
        <v>1640360</v>
      </c>
      <c r="H11" s="56">
        <f t="shared" si="0"/>
        <v>1833130.8199999998</v>
      </c>
      <c r="I11" s="54">
        <f t="shared" ref="I11" si="2">SUM(I9:I10)</f>
        <v>1973974.2</v>
      </c>
      <c r="J11" s="202">
        <f t="shared" ref="J11" si="3">SUM(J9:J10)</f>
        <v>1461125</v>
      </c>
      <c r="K11" s="42"/>
      <c r="L11" s="225">
        <f t="shared" ref="L11" si="4">SUM(L9:L10)</f>
        <v>2172187.6</v>
      </c>
      <c r="M11" s="225">
        <f>SUM(M9:M10)</f>
        <v>62873</v>
      </c>
      <c r="N11" s="243">
        <f>SUM(N9:N10)</f>
        <v>2158420.3430000003</v>
      </c>
      <c r="O11" s="263">
        <f>SUM(O9:O10)</f>
        <v>-2.2792726061423851E-3</v>
      </c>
    </row>
    <row r="12" spans="1:33" x14ac:dyDescent="0.25">
      <c r="A12" s="33"/>
      <c r="B12" s="33"/>
      <c r="C12" s="33"/>
      <c r="D12" s="57"/>
      <c r="E12" s="33"/>
      <c r="F12" s="57"/>
      <c r="G12" s="33"/>
      <c r="H12" s="58"/>
      <c r="I12" s="33"/>
      <c r="J12" s="198"/>
      <c r="K12" s="42"/>
      <c r="L12" s="33"/>
      <c r="M12" s="33"/>
      <c r="N12" s="249"/>
      <c r="O12" s="261"/>
    </row>
    <row r="13" spans="1:33" x14ac:dyDescent="0.25">
      <c r="A13" s="39" t="s">
        <v>8</v>
      </c>
      <c r="B13" s="39"/>
      <c r="C13" s="39"/>
      <c r="D13" s="60"/>
      <c r="E13" s="39"/>
      <c r="F13" s="60"/>
      <c r="G13" s="39"/>
      <c r="H13" s="61"/>
      <c r="I13" s="39"/>
      <c r="J13" s="198"/>
      <c r="K13" s="42"/>
      <c r="L13" s="39"/>
      <c r="M13" s="33"/>
      <c r="N13" s="249"/>
      <c r="O13" s="261"/>
    </row>
    <row r="14" spans="1:33" x14ac:dyDescent="0.25">
      <c r="A14" s="33" t="s">
        <v>9</v>
      </c>
      <c r="B14" s="44">
        <f>'GF - SECRETARY'!C18+'GF - COURT'!C20+'GF - PERMITTING'!C19+'GF - DS'!C21+'GF - PD'!C21+'UF - OPERATIONS'!C22</f>
        <v>639165.30374999996</v>
      </c>
      <c r="C14" s="44">
        <v>677958</v>
      </c>
      <c r="D14" s="46">
        <f>'GF - SECRETARY'!E18+'GF - COURT'!E20+'GF - PERMITTING'!E19+'GF - DS'!E21+'GF - PD'!E21+'UF - OPERATIONS'!E22</f>
        <v>0</v>
      </c>
      <c r="E14" s="44">
        <v>656116</v>
      </c>
      <c r="F14" s="46">
        <v>550387.94999999995</v>
      </c>
      <c r="G14" s="44">
        <v>630825.33889999986</v>
      </c>
      <c r="H14" s="47">
        <f>+'GF - SECRETARY'!J18+'GF - COURT'!I20+'GF - PERMITTING'!I19+'GF - DS'!I21+'GF - PD'!I21+'UF - OPERATIONS'!I22+'UF-UTILITY CLERK'!G19</f>
        <v>487990.69000000006</v>
      </c>
      <c r="I14" s="44">
        <f>+'GF - SECRETARY'!K18+'GF - COURT'!J20+'GF - PERMITTING'!J19+'GF - DS'!J21+'GF - PD'!J21+'UF - OPERATIONS'!J22+'UF-UTILITY CLERK'!H19+'GF - SRO'!J20</f>
        <v>743903.88</v>
      </c>
      <c r="J14" s="208">
        <f>+'GF - SECRETARY'!L18+'GF - COURT'!K20+'GF - PERMITTING'!K19+'GF - DS'!K21+'GF - PD'!K21+'UF - OPERATIONS'!K22+'UF-UTILITY CLERK'!I19+'GF - SRO'!K20</f>
        <v>688159.88</v>
      </c>
      <c r="K14" s="62"/>
      <c r="L14" s="233">
        <f>+'GF - SECRETARY'!N18+'GF - COURT'!M20+'GF - PERMITTING'!M19+'GF - DS'!M21+'GF - PD'!M21+'UF - OPERATIONS'!M22+'UF-UTILITY CLERK'!K19+'GF - SRO'!M20</f>
        <v>978678.71409999998</v>
      </c>
      <c r="M14" s="222">
        <f>'GF - SECRETARY'!O18+'GF - COURT'!N20+'GF - PERMITTING'!N19+'GF - DS'!N21+'GF - PD'!N21+'GF - SRO'!N20+'UF-UTILITY CLERK'!L19+'UF - OPERATIONS'!N22</f>
        <v>23719</v>
      </c>
      <c r="N14" s="250">
        <f>'GF - SECRETARY'!P18+'GF - COURT'!O20+'GF - PERMITTING'!O19+'GF - DS'!O21+'GF - PD'!O21+'GF - SRO'!O20+'UF-UTILITY CLERK'!M19+'UF - OPERATIONS'!O22</f>
        <v>889548.05872300011</v>
      </c>
      <c r="O14" s="261">
        <f>((N14-L14)/L14)</f>
        <v>-9.1072436840485563E-2</v>
      </c>
    </row>
    <row r="15" spans="1:33" x14ac:dyDescent="0.25">
      <c r="A15" s="33" t="s">
        <v>10</v>
      </c>
      <c r="B15" s="44">
        <f>'GF - SECRETARY'!C23+'GF - COURT'!C25+'GF - PERMITTING'!C23+'GF - LEGAL'!C12+'GF -ENGINEERING'!C8+'GF - GCAD'!C8+'GF - GCTA'!C8+'GF - AUDITOR'!C8+'UF - OPERATIONS'!C32</f>
        <v>125939.28</v>
      </c>
      <c r="C15" s="44">
        <v>189525</v>
      </c>
      <c r="D15" s="46">
        <f>'GF - SECRETARY'!E23+'GF - COURT'!E25+'GF - PERMITTING'!E23+'GF - LEGAL'!E12+'GF -ENGINEERING'!E8+'GF - GCAD'!E8+'GF - GCTA'!E8+'GF - AUDITOR'!E8+'UF - OPERATIONS'!E32</f>
        <v>116494.39</v>
      </c>
      <c r="E15" s="44">
        <v>176134</v>
      </c>
      <c r="F15" s="46">
        <v>206284.47999999998</v>
      </c>
      <c r="G15" s="44">
        <v>157050</v>
      </c>
      <c r="H15" s="47">
        <f>+'GF - SECRETARY'!J23+'GF - COURT'!I25+'GF - PERMITTING'!I23+'UF - OPERATIONS'!I32+'UF - ADMIN'!I17+'UF-UTILITY CLERK'!G9</f>
        <v>107383.04000000001</v>
      </c>
      <c r="I15" s="44">
        <f>+'GF - SECRETARY'!K23+'GF - COURT'!J25+'GF - PERMITTING'!J23+'UF - OPERATIONS'!J32+'UF - ADMIN'!J17+'UF-UTILITY CLERK'!H9</f>
        <v>156800</v>
      </c>
      <c r="J15" s="208">
        <f>+'GF - SECRETARY'!L23+'GF - COURT'!K25+'GF - PERMITTING'!K23+'UF - OPERATIONS'!K32+'UF - ADMIN'!K17+'UF-UTILITY CLERK'!I9</f>
        <v>156800</v>
      </c>
      <c r="K15" s="62"/>
      <c r="L15" s="233">
        <f>+'GF - SECRETARY'!N23+'GF - COURT'!M25+'GF - PERMITTING'!M23+'UF - OPERATIONS'!M32+'UF - ADMIN'!M17+'UF-UTILITY CLERK'!K9</f>
        <v>144843</v>
      </c>
      <c r="M15" s="222">
        <f>'GF - SECRETARY'!O23+'GF - COURT'!N25+'GF - PERMITTING'!N23+'UF - OPERATIONS'!N32+'UF - ADMIN'!N17</f>
        <v>0</v>
      </c>
      <c r="N15" s="250">
        <f>'GF - SECRETARY'!P23+'GF - COURT'!O25+'GF - PERMITTING'!O23+'UF - OPERATIONS'!O32+'UF - ADMIN'!O17</f>
        <v>157140.85999999999</v>
      </c>
      <c r="O15" s="261">
        <f t="shared" ref="O15:O22" si="5">((N15-L15)/L15)</f>
        <v>8.4904758945893041E-2</v>
      </c>
    </row>
    <row r="16" spans="1:33" x14ac:dyDescent="0.25">
      <c r="A16" s="33" t="s">
        <v>11</v>
      </c>
      <c r="B16" s="44">
        <f>'GF - MCLA'!C8+'GF - MVFD'!C12+'GF - EMS'!C12+'UF - OPERATIONS'!C41</f>
        <v>414481.86</v>
      </c>
      <c r="C16" s="44">
        <v>444420</v>
      </c>
      <c r="D16" s="46">
        <f>'GF - MCLA'!E8+'GF - MVFD'!E12+'GF - EMS'!E12+'UF - OPERATIONS'!E41</f>
        <v>132871.59</v>
      </c>
      <c r="E16" s="44">
        <v>492835</v>
      </c>
      <c r="F16" s="46">
        <v>494550.56</v>
      </c>
      <c r="G16" s="44">
        <v>472260</v>
      </c>
      <c r="H16" s="47">
        <f>+'GF - DS'!I37+'UF - OPERATIONS'!I41+'UF - ADMIN'!I49+'UF-UTILITY CLERK'!G8</f>
        <v>297304.47000000003</v>
      </c>
      <c r="I16" s="44">
        <f>+'GF - DS'!J37+'UF - OPERATIONS'!J41+'UF - ADMIN'!J49+'UF-UTILITY CLERK'!H8</f>
        <v>580828.87</v>
      </c>
      <c r="J16" s="208">
        <f>+'GF - DS'!K37+'UF - OPERATIONS'!K41+'UF - ADMIN'!K49+'UF-UTILITY CLERK'!I8</f>
        <v>580828.87</v>
      </c>
      <c r="K16" s="62"/>
      <c r="L16" s="233">
        <f>+'GF - DS'!M37+'UF - OPERATIONS'!M41+'UF - ADMIN'!M49+'UF-UTILITY CLERK'!K8</f>
        <v>598908.87609999999</v>
      </c>
      <c r="M16" s="222">
        <f>'GF - DS'!N37+'UF - OPERATIONS'!N41+'UF - ADMIN'!N49</f>
        <v>0</v>
      </c>
      <c r="N16" s="250">
        <f>'GF - DS'!O37+'UF - OPERATIONS'!O41+'UF - ADMIN'!O49</f>
        <v>599146.89880000008</v>
      </c>
      <c r="O16" s="261">
        <f t="shared" si="5"/>
        <v>3.9742723726196024E-4</v>
      </c>
    </row>
    <row r="17" spans="1:18" x14ac:dyDescent="0.25">
      <c r="A17" s="33" t="s">
        <v>12</v>
      </c>
      <c r="B17" s="44">
        <f>'GF - SECRETARY'!C32+'GF - COURT'!C35+'GF - PERMITTING'!C32+'GF - DS'!C32+'GF - PD'!C34+'GF - LEGAL'!C8+'GF - MVFD'!C8+'GF - EMS'!C8+'UF - OPERATIONS'!C57</f>
        <v>171294.34</v>
      </c>
      <c r="C17" s="44">
        <v>192750</v>
      </c>
      <c r="D17" s="46">
        <f>'GF - SECRETARY'!E32+'GF - COURT'!E35+'GF - PERMITTING'!E32+'GF - DS'!E32+'GF - PD'!E34+'GF - LEGAL'!E8+'GF - MVFD'!E8+'GF - EMS'!E8+'UF - OPERATIONS'!E57</f>
        <v>137647.08000000002</v>
      </c>
      <c r="E17" s="44">
        <v>254730</v>
      </c>
      <c r="F17" s="46">
        <v>323897</v>
      </c>
      <c r="G17" s="44">
        <v>277890</v>
      </c>
      <c r="H17" s="47">
        <f>+'GF - SECRETARY'!J32+'GF - COURT'!I35+'GF - PERMITTING'!I32+'GF - DS'!I32+'GF - PD'!I34+'UF - OPERATIONS'!I57+'UF - ADMIN'!I31+'UF-UTILITY CLERK'!G32</f>
        <v>262598.07</v>
      </c>
      <c r="I17" s="44">
        <f>+'GF - SECRETARY'!K32+'GF - COURT'!J35+'GF - PERMITTING'!J32+'GF - DS'!J32+'GF - PD'!J34+'UF - OPERATIONS'!J57+'UF - ADMIN'!J31+'UF-UTILITY CLERK'!H32+'GF - SRO'!J30</f>
        <v>379464.75</v>
      </c>
      <c r="J17" s="208">
        <f>+'GF - SECRETARY'!L32+'GF - COURT'!K35+'GF - PERMITTING'!K32+'GF - DS'!K32+'GF - PD'!K34+'UF - OPERATIONS'!K57+'UF - ADMIN'!K31+'UF-UTILITY CLERK'!I32+'GF - SRO'!K30</f>
        <v>363576.75</v>
      </c>
      <c r="K17" s="62"/>
      <c r="L17" s="233">
        <f>+'GF - SECRETARY'!N32+'GF - COURT'!M35+'GF - PERMITTING'!M32+'GF - DS'!M32+'GF - PD'!M34+'UF - OPERATIONS'!M57+'UF - ADMIN'!M31+'UF-UTILITY CLERK'!K32+'GF - SRO'!M30</f>
        <v>402226.59250000003</v>
      </c>
      <c r="M17" s="222">
        <f>'GF - SECRETARY'!O32+'GF - COURT'!N35+'GF - PERMITTING'!N32+'GF - DS'!N32+'GF - PD'!N34+'GF - SRO'!N30+'UF - OPERATIONS'!N57+'UF - ADMIN'!N31+'UF-UTILITY CLERK'!L32</f>
        <v>0</v>
      </c>
      <c r="N17" s="250">
        <f>'GF - SECRETARY'!P32+'GF - COURT'!O35+'GF - PERMITTING'!O32+'GF - DS'!O32+'GF - PD'!O34+'GF - SRO'!O30+'UF - OPERATIONS'!O57+'UF - ADMIN'!O31+'UF-UTILITY CLERK'!M32</f>
        <v>340047.77250000002</v>
      </c>
      <c r="O17" s="261">
        <f t="shared" si="5"/>
        <v>-0.15458654688526097</v>
      </c>
    </row>
    <row r="18" spans="1:18" x14ac:dyDescent="0.25">
      <c r="A18" s="33" t="s">
        <v>13</v>
      </c>
      <c r="B18" s="44">
        <f>'GF - SECRETARY'!C39+'UF - OPERATIONS'!C68</f>
        <v>3752</v>
      </c>
      <c r="C18" s="44">
        <v>1200</v>
      </c>
      <c r="D18" s="46">
        <f>'GF - SECRETARY'!E39+'UF - OPERATIONS'!E68</f>
        <v>0</v>
      </c>
      <c r="E18" s="44">
        <v>36000</v>
      </c>
      <c r="F18" s="46">
        <v>40914.25</v>
      </c>
      <c r="G18" s="44">
        <v>26500</v>
      </c>
      <c r="H18" s="47">
        <f>+'UF - ADMIN'!I38</f>
        <v>22533.96</v>
      </c>
      <c r="I18" s="44">
        <f>+'UF - ADMIN'!J38</f>
        <v>42500</v>
      </c>
      <c r="J18" s="208">
        <f>+'UF - ADMIN'!K38</f>
        <v>42500</v>
      </c>
      <c r="K18" s="62"/>
      <c r="L18" s="233">
        <f>+'UF - ADMIN'!M38</f>
        <v>58025</v>
      </c>
      <c r="M18" s="222">
        <f>'UF - ADMIN'!N38</f>
        <v>0</v>
      </c>
      <c r="N18" s="250">
        <f>'UF - ADMIN'!O38</f>
        <v>58025</v>
      </c>
      <c r="O18" s="261">
        <f t="shared" si="5"/>
        <v>0</v>
      </c>
    </row>
    <row r="19" spans="1:18" x14ac:dyDescent="0.25">
      <c r="A19" s="33" t="s">
        <v>14</v>
      </c>
      <c r="B19" s="63">
        <f>'GF - SECRETARY'!C44+'GF - PD'!C39+'UF - OPERATIONS'!C73</f>
        <v>14564</v>
      </c>
      <c r="C19" s="44">
        <v>9000</v>
      </c>
      <c r="D19" s="64">
        <f>'GF - SECRETARY'!E44+'GF - PD'!E39+'UF - OPERATIONS'!E73</f>
        <v>9457.5400000000009</v>
      </c>
      <c r="E19" s="44">
        <v>32111</v>
      </c>
      <c r="F19" s="46">
        <v>22862.989999999998</v>
      </c>
      <c r="G19" s="44">
        <v>29124</v>
      </c>
      <c r="H19" s="47">
        <f>+'GF - PD'!I39+'UF - ADMIN'!I43</f>
        <v>22253.97</v>
      </c>
      <c r="I19" s="44">
        <f>+'GF - PD'!J39+'UF - ADMIN'!J43</f>
        <v>37131.67</v>
      </c>
      <c r="J19" s="208">
        <f>+'GF - PD'!K39+'UF - ADMIN'!K43</f>
        <v>29244</v>
      </c>
      <c r="K19" s="62"/>
      <c r="L19" s="233">
        <f>+'GF - PD'!M39+'UF - ADMIN'!M43</f>
        <v>55650</v>
      </c>
      <c r="M19" s="222">
        <f>'GF - PD'!N39+'UF-UTILITY CLERK'!N43</f>
        <v>0</v>
      </c>
      <c r="N19" s="250">
        <f>'GF - PD'!O39+'UF-UTILITY CLERK'!O43</f>
        <v>43260</v>
      </c>
      <c r="O19" s="261">
        <f t="shared" si="5"/>
        <v>-0.22264150943396227</v>
      </c>
    </row>
    <row r="20" spans="1:18" x14ac:dyDescent="0.25">
      <c r="A20" s="33" t="s">
        <v>15</v>
      </c>
      <c r="B20" s="63">
        <v>8325</v>
      </c>
      <c r="C20" s="63">
        <v>8325</v>
      </c>
      <c r="D20" s="64">
        <v>8325</v>
      </c>
      <c r="E20" s="63">
        <v>8325</v>
      </c>
      <c r="F20" s="64">
        <v>12209.1</v>
      </c>
      <c r="G20" s="63">
        <v>8325</v>
      </c>
      <c r="H20" s="65">
        <f>+'UF - OPERATIONS'!I61+'UF-UTILITY CLERK'!G9</f>
        <v>13269.37</v>
      </c>
      <c r="I20" s="63">
        <f>+'UF - OPERATIONS'!J61+'UF-UTILITY CLERK'!H9</f>
        <v>13000</v>
      </c>
      <c r="J20" s="210">
        <f>+'UF - OPERATIONS'!K61+'UF-UTILITY CLERK'!I9</f>
        <v>13000</v>
      </c>
      <c r="K20" s="62"/>
      <c r="L20" s="235">
        <f>+'UF - OPERATIONS'!M61+'UF-UTILITY CLERK'!K9</f>
        <v>13390</v>
      </c>
      <c r="M20" s="222">
        <f>'UF-UTILITY CLERK'!N61</f>
        <v>0</v>
      </c>
      <c r="N20" s="250">
        <v>35000</v>
      </c>
      <c r="O20" s="261">
        <f t="shared" si="5"/>
        <v>1.6138909634055265</v>
      </c>
    </row>
    <row r="21" spans="1:18" x14ac:dyDescent="0.25">
      <c r="A21" s="33" t="s">
        <v>16</v>
      </c>
      <c r="B21" s="63">
        <f>'GF - DS'!C43+'GF - PD'!C48+'UF - OPERATIONS'!C82</f>
        <v>0</v>
      </c>
      <c r="C21" s="63">
        <f>'GF - PD'!D48+'GF - DS'!D43+'UF - OPERATIONS'!D82</f>
        <v>0</v>
      </c>
      <c r="D21" s="64">
        <f>'GF - DS'!E43+'GF - PD'!E48+'UF - OPERATIONS'!E82</f>
        <v>17470</v>
      </c>
      <c r="E21" s="63">
        <v>32647.48</v>
      </c>
      <c r="F21" s="64">
        <v>55639.360000000001</v>
      </c>
      <c r="G21" s="63">
        <v>25000</v>
      </c>
      <c r="H21" s="65">
        <f>+'GF - DS'!I43+'GF - PD'!I48</f>
        <v>122970.5</v>
      </c>
      <c r="I21" s="63">
        <f>+'GF - DS'!J43+'GF - PD'!J48</f>
        <v>6439</v>
      </c>
      <c r="J21" s="210">
        <f>+'GF - DS'!K43+'GF - PD'!K48</f>
        <v>750</v>
      </c>
      <c r="K21" s="62"/>
      <c r="L21" s="235">
        <f>+'GF - DS'!M43+'GF - PD'!M48</f>
        <v>0</v>
      </c>
      <c r="M21" s="222">
        <f>'GF - DS'!N43+'GF - PD'!N48+'UF - OPERATIONS'!N82</f>
        <v>0</v>
      </c>
      <c r="N21" s="250">
        <v>36252</v>
      </c>
      <c r="O21" s="261">
        <v>0</v>
      </c>
      <c r="P21" s="39"/>
    </row>
    <row r="22" spans="1:18" ht="16.5" thickBot="1" x14ac:dyDescent="0.3">
      <c r="A22" s="66" t="s">
        <v>17</v>
      </c>
      <c r="B22" s="49">
        <v>0</v>
      </c>
      <c r="C22" s="49">
        <v>0</v>
      </c>
      <c r="D22" s="51">
        <v>0</v>
      </c>
      <c r="E22" s="49">
        <v>0</v>
      </c>
      <c r="F22" s="51">
        <v>13386</v>
      </c>
      <c r="G22" s="49">
        <v>13386</v>
      </c>
      <c r="H22" s="52">
        <v>0</v>
      </c>
      <c r="I22" s="49">
        <v>13906.75</v>
      </c>
      <c r="J22" s="209">
        <v>13907</v>
      </c>
      <c r="K22" s="42"/>
      <c r="L22" s="234">
        <v>13753</v>
      </c>
      <c r="M22" s="223">
        <v>0</v>
      </c>
      <c r="N22" s="260" t="s">
        <v>705</v>
      </c>
      <c r="O22" s="262" t="e">
        <f t="shared" si="5"/>
        <v>#VALUE!</v>
      </c>
      <c r="P22" s="268"/>
      <c r="Q22" s="269"/>
      <c r="R22" s="269"/>
    </row>
    <row r="23" spans="1:18" x14ac:dyDescent="0.25">
      <c r="A23" s="53" t="s">
        <v>7</v>
      </c>
      <c r="B23" s="54">
        <f t="shared" ref="B23" si="6">SUM(B14:B21)</f>
        <v>1377521.7837500002</v>
      </c>
      <c r="C23" s="54">
        <f>SUM(C14:C22)</f>
        <v>1523178</v>
      </c>
      <c r="D23" s="55">
        <f t="shared" ref="D23" si="7">SUM(D14:D21)</f>
        <v>422265.59999999998</v>
      </c>
      <c r="E23" s="54">
        <v>1688898.48</v>
      </c>
      <c r="F23" s="55">
        <v>1706745.6900000002</v>
      </c>
      <c r="G23" s="54">
        <v>1640360.3388999999</v>
      </c>
      <c r="H23" s="56">
        <f>SUM(H14:H22)</f>
        <v>1336304.0700000003</v>
      </c>
      <c r="I23" s="54">
        <f>SUM(I14:I22)</f>
        <v>1973974.92</v>
      </c>
      <c r="J23" s="202">
        <f>SUM(J14:J22)</f>
        <v>1888766.5</v>
      </c>
      <c r="K23" s="67"/>
      <c r="L23" s="225">
        <f>SUM(L14:L22)</f>
        <v>2265475.1826999998</v>
      </c>
      <c r="M23" s="225">
        <f>SUM(M14:M22)</f>
        <v>23719</v>
      </c>
      <c r="N23" s="243">
        <f>SUM(N14:N22)</f>
        <v>2158420.5900230003</v>
      </c>
      <c r="O23" s="263" t="e">
        <f>SUM(O14:O22)</f>
        <v>#VALUE!</v>
      </c>
    </row>
    <row r="24" spans="1:18" x14ac:dyDescent="0.25">
      <c r="D24" s="59"/>
      <c r="F24" s="68"/>
      <c r="G24" s="69"/>
      <c r="H24" s="70"/>
      <c r="J24" s="198"/>
      <c r="K24" s="42"/>
      <c r="M24" s="33"/>
      <c r="N24" s="249"/>
      <c r="O24" s="261"/>
    </row>
    <row r="25" spans="1:18" x14ac:dyDescent="0.25">
      <c r="A25" s="53" t="s">
        <v>18</v>
      </c>
      <c r="B25" s="54">
        <f>+B11</f>
        <v>1764525.03</v>
      </c>
      <c r="C25" s="54">
        <f>+C11</f>
        <v>1543861</v>
      </c>
      <c r="D25" s="55">
        <f>+D11</f>
        <v>1671582.69</v>
      </c>
      <c r="E25" s="54">
        <v>1603847</v>
      </c>
      <c r="F25" s="55">
        <v>1973204.9900000002</v>
      </c>
      <c r="G25" s="54">
        <v>1640360</v>
      </c>
      <c r="H25" s="56">
        <f>+H11</f>
        <v>1833130.8199999998</v>
      </c>
      <c r="I25" s="54">
        <f>+I11</f>
        <v>1973974.2</v>
      </c>
      <c r="J25" s="202">
        <f>+J11</f>
        <v>1461125</v>
      </c>
      <c r="K25" s="42"/>
      <c r="L25" s="225">
        <f>+L11</f>
        <v>2172187.6</v>
      </c>
      <c r="M25" s="222">
        <f>M11</f>
        <v>62873</v>
      </c>
      <c r="N25" s="250">
        <f>N11</f>
        <v>2158420.3430000003</v>
      </c>
      <c r="O25" s="261">
        <f t="shared" ref="O25:O26" si="8">+(L25-J25)/J25</f>
        <v>0.48665418769783564</v>
      </c>
    </row>
    <row r="26" spans="1:18" ht="16.5" thickBot="1" x14ac:dyDescent="0.3">
      <c r="A26" s="53" t="s">
        <v>19</v>
      </c>
      <c r="B26" s="72">
        <f>+B23</f>
        <v>1377521.7837500002</v>
      </c>
      <c r="C26" s="72">
        <f>+C23</f>
        <v>1523178</v>
      </c>
      <c r="D26" s="73">
        <f>+D23</f>
        <v>422265.59999999998</v>
      </c>
      <c r="E26" s="72">
        <v>1688898.48</v>
      </c>
      <c r="F26" s="73">
        <v>1706745.6900000002</v>
      </c>
      <c r="G26" s="72">
        <v>1640360.3388999999</v>
      </c>
      <c r="H26" s="74">
        <f>+H23</f>
        <v>1336304.0700000003</v>
      </c>
      <c r="I26" s="72">
        <f>+I23</f>
        <v>1973974.92</v>
      </c>
      <c r="J26" s="211">
        <f>+J23</f>
        <v>1888766.5</v>
      </c>
      <c r="K26" s="42"/>
      <c r="L26" s="236">
        <f>+L23</f>
        <v>2265475.1826999998</v>
      </c>
      <c r="M26" s="223">
        <f>M23</f>
        <v>23719</v>
      </c>
      <c r="N26" s="260">
        <f>N23</f>
        <v>2158420.5900230003</v>
      </c>
      <c r="O26" s="262">
        <f t="shared" si="8"/>
        <v>0.19944693147617759</v>
      </c>
    </row>
    <row r="27" spans="1:18" x14ac:dyDescent="0.25">
      <c r="A27" s="53" t="s">
        <v>637</v>
      </c>
      <c r="B27" s="75">
        <f t="shared" ref="B27:C27" si="9">B25-B26</f>
        <v>387003.24624999985</v>
      </c>
      <c r="C27" s="75">
        <f t="shared" si="9"/>
        <v>20683</v>
      </c>
      <c r="D27" s="76">
        <f t="shared" ref="D27" si="10">D25-D26</f>
        <v>1249317.0899999999</v>
      </c>
      <c r="E27" s="75">
        <v>-85051.479999999981</v>
      </c>
      <c r="F27" s="76">
        <v>266459.30000000005</v>
      </c>
      <c r="G27" s="75">
        <v>-0.33889999985694885</v>
      </c>
      <c r="H27" s="77">
        <f t="shared" ref="H27" si="11">H25-H26</f>
        <v>496826.74999999953</v>
      </c>
      <c r="I27" s="75">
        <f t="shared" ref="I27" si="12">I25-I26</f>
        <v>-0.71999999997206032</v>
      </c>
      <c r="J27" s="203">
        <f t="shared" ref="J27" si="13">J25-J26</f>
        <v>-427641.5</v>
      </c>
      <c r="K27" s="42"/>
      <c r="L27" s="266">
        <f t="shared" ref="L27:N27" si="14">L25-L26</f>
        <v>-93287.582699999679</v>
      </c>
      <c r="M27" s="237">
        <f t="shared" si="14"/>
        <v>39154</v>
      </c>
      <c r="N27" s="267">
        <f t="shared" si="14"/>
        <v>-0.24702299991622567</v>
      </c>
      <c r="O27" s="261"/>
    </row>
    <row r="29" spans="1:18" x14ac:dyDescent="0.25">
      <c r="F29" s="69"/>
    </row>
    <row r="31" spans="1:18" x14ac:dyDescent="0.25">
      <c r="F31" s="78"/>
    </row>
  </sheetData>
  <mergeCells count="1">
    <mergeCell ref="F1:I2"/>
  </mergeCells>
  <pageMargins left="0.7" right="0.7" top="1.25" bottom="0.75" header="1.05" footer="0.3"/>
  <pageSetup scale="3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G2" sqref="G2"/>
    </sheetView>
  </sheetViews>
  <sheetFormatPr defaultRowHeight="15" x14ac:dyDescent="0.25"/>
  <cols>
    <col min="1" max="1" width="10.42578125" customWidth="1"/>
    <col min="2" max="2" width="28.28515625" customWidth="1"/>
    <col min="3" max="3" width="10.42578125" hidden="1" customWidth="1"/>
    <col min="4" max="4" width="10.7109375" customWidth="1"/>
    <col min="5" max="5" width="11.42578125" customWidth="1"/>
    <col min="6" max="6" width="0" hidden="1" customWidth="1"/>
    <col min="7" max="7" width="11.42578125" customWidth="1"/>
  </cols>
  <sheetData>
    <row r="1" spans="1:7" ht="35.2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10" t="s">
        <v>380</v>
      </c>
      <c r="C4" s="1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381</v>
      </c>
      <c r="B6" s="1"/>
      <c r="C6" s="1"/>
      <c r="D6" s="1"/>
      <c r="E6" s="1"/>
      <c r="G6" s="1"/>
    </row>
    <row r="7" spans="1:7" ht="15.75" thickBot="1" x14ac:dyDescent="0.3">
      <c r="A7" s="14" t="s">
        <v>382</v>
      </c>
      <c r="B7" s="1" t="s">
        <v>383</v>
      </c>
      <c r="C7" s="6">
        <v>0</v>
      </c>
      <c r="D7" s="6">
        <v>0</v>
      </c>
      <c r="E7" s="6">
        <v>2500</v>
      </c>
      <c r="G7" s="6">
        <v>2500</v>
      </c>
    </row>
    <row r="8" spans="1:7" x14ac:dyDescent="0.25">
      <c r="A8" s="280" t="s">
        <v>384</v>
      </c>
      <c r="B8" s="280"/>
      <c r="C8" s="5">
        <f>SUM(C7:C7)</f>
        <v>0</v>
      </c>
      <c r="D8" s="5">
        <f>SUM(D7:D7)</f>
        <v>0</v>
      </c>
      <c r="E8" s="5">
        <f>SUM(E7:E7)</f>
        <v>2500</v>
      </c>
      <c r="G8" s="5">
        <f>SUM(G7:G7)</f>
        <v>2500</v>
      </c>
    </row>
    <row r="9" spans="1:7" x14ac:dyDescent="0.25">
      <c r="A9" s="1"/>
      <c r="B9" s="1"/>
      <c r="C9" s="3"/>
      <c r="D9" s="3"/>
      <c r="E9" s="3"/>
      <c r="G9" s="3"/>
    </row>
    <row r="10" spans="1:7" x14ac:dyDescent="0.25">
      <c r="A10" s="4" t="s">
        <v>10</v>
      </c>
      <c r="B10" s="1"/>
      <c r="C10" s="3"/>
      <c r="D10" s="3"/>
      <c r="E10" s="3"/>
      <c r="G10" s="3"/>
    </row>
    <row r="11" spans="1:7" ht="15.75" thickBot="1" x14ac:dyDescent="0.3">
      <c r="A11" s="14" t="s">
        <v>385</v>
      </c>
      <c r="B11" s="1" t="s">
        <v>51</v>
      </c>
      <c r="C11" s="6">
        <v>25958.97</v>
      </c>
      <c r="D11" s="6">
        <v>18000</v>
      </c>
      <c r="E11" s="6">
        <v>30000</v>
      </c>
      <c r="G11" s="6">
        <v>30000</v>
      </c>
    </row>
    <row r="12" spans="1:7" x14ac:dyDescent="0.25">
      <c r="A12" s="1"/>
      <c r="B12" s="2" t="s">
        <v>218</v>
      </c>
      <c r="C12" s="5">
        <f>SUM(C11:C11)</f>
        <v>25958.97</v>
      </c>
      <c r="D12" s="5">
        <f>SUM(D11:D11)</f>
        <v>18000</v>
      </c>
      <c r="E12" s="5">
        <f>SUM(E11:E11)</f>
        <v>30000</v>
      </c>
      <c r="G12" s="5">
        <f>SUM(G11:G11)</f>
        <v>30000</v>
      </c>
    </row>
    <row r="13" spans="1:7" x14ac:dyDescent="0.25">
      <c r="A13" s="1"/>
      <c r="B13" s="1"/>
      <c r="C13" s="5"/>
      <c r="D13" s="5"/>
      <c r="E13" s="5"/>
      <c r="G13" s="5"/>
    </row>
    <row r="14" spans="1:7" x14ac:dyDescent="0.25">
      <c r="B14" s="10" t="s">
        <v>386</v>
      </c>
      <c r="C14" s="11">
        <f>C8+C12</f>
        <v>25958.97</v>
      </c>
      <c r="D14" s="11">
        <f t="shared" ref="D14:E14" si="0">D8+D12</f>
        <v>18000</v>
      </c>
      <c r="E14" s="11">
        <f t="shared" si="0"/>
        <v>32500</v>
      </c>
      <c r="G14" s="11">
        <f t="shared" ref="G14" si="1">G8+G12</f>
        <v>32500</v>
      </c>
    </row>
    <row r="16" spans="1:7" x14ac:dyDescent="0.25">
      <c r="A16" s="13" t="s">
        <v>387</v>
      </c>
    </row>
    <row r="17" spans="1:5" ht="45" customHeight="1" x14ac:dyDescent="0.25">
      <c r="A17" s="281" t="s">
        <v>388</v>
      </c>
      <c r="B17" s="281"/>
      <c r="C17" s="281"/>
      <c r="D17" s="281"/>
      <c r="E17" s="281"/>
    </row>
  </sheetData>
  <mergeCells count="2">
    <mergeCell ref="A8:B8"/>
    <mergeCell ref="A17:E17"/>
  </mergeCells>
  <pageMargins left="0.7" right="0.7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G2" sqref="G2"/>
    </sheetView>
  </sheetViews>
  <sheetFormatPr defaultRowHeight="15" x14ac:dyDescent="0.25"/>
  <cols>
    <col min="1" max="1" width="12.42578125" customWidth="1"/>
    <col min="2" max="2" width="27.28515625" customWidth="1"/>
    <col min="3" max="3" width="10.28515625" hidden="1" customWidth="1"/>
    <col min="4" max="4" width="10.5703125" customWidth="1"/>
    <col min="5" max="5" width="12.140625" customWidth="1"/>
    <col min="6" max="6" width="0" hidden="1" customWidth="1"/>
    <col min="7" max="7" width="12.140625" customWidth="1"/>
  </cols>
  <sheetData>
    <row r="1" spans="1:7" ht="37.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10" t="s">
        <v>389</v>
      </c>
      <c r="C4" s="1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10</v>
      </c>
      <c r="B6" s="1"/>
      <c r="C6" s="3"/>
      <c r="D6" s="3"/>
      <c r="E6" s="3"/>
      <c r="G6" s="3"/>
    </row>
    <row r="7" spans="1:7" ht="15.75" thickBot="1" x14ac:dyDescent="0.3">
      <c r="A7" s="14" t="s">
        <v>390</v>
      </c>
      <c r="B7" s="1" t="s">
        <v>52</v>
      </c>
      <c r="C7" s="6">
        <v>5460</v>
      </c>
      <c r="D7" s="6">
        <v>31000</v>
      </c>
      <c r="E7" s="6">
        <v>20000</v>
      </c>
      <c r="G7" s="6">
        <v>20000</v>
      </c>
    </row>
    <row r="8" spans="1:7" x14ac:dyDescent="0.25">
      <c r="A8" s="1"/>
      <c r="B8" s="2" t="s">
        <v>218</v>
      </c>
      <c r="C8" s="5">
        <f>SUM(C7:C7)</f>
        <v>5460</v>
      </c>
      <c r="D8" s="5">
        <f>SUM(D7:D7)</f>
        <v>31000</v>
      </c>
      <c r="E8" s="5">
        <f>SUM(E7:E7)</f>
        <v>20000</v>
      </c>
      <c r="G8" s="5">
        <f>SUM(G7:G7)</f>
        <v>20000</v>
      </c>
    </row>
    <row r="9" spans="1:7" x14ac:dyDescent="0.25">
      <c r="A9" s="1"/>
      <c r="B9" s="1"/>
      <c r="C9" s="5"/>
      <c r="D9" s="5"/>
      <c r="E9" s="5"/>
      <c r="G9" s="5"/>
    </row>
    <row r="10" spans="1:7" x14ac:dyDescent="0.25">
      <c r="A10" s="282" t="s">
        <v>391</v>
      </c>
      <c r="B10" s="282"/>
      <c r="C10" s="11">
        <f>C8</f>
        <v>5460</v>
      </c>
      <c r="D10" s="11">
        <f t="shared" ref="D10:E10" si="0">D8</f>
        <v>31000</v>
      </c>
      <c r="E10" s="11">
        <f t="shared" si="0"/>
        <v>20000</v>
      </c>
      <c r="G10" s="11">
        <f t="shared" ref="G10" si="1">G8</f>
        <v>20000</v>
      </c>
    </row>
    <row r="12" spans="1:7" x14ac:dyDescent="0.25">
      <c r="A12" s="13" t="s">
        <v>392</v>
      </c>
    </row>
    <row r="13" spans="1:7" ht="44.25" customHeight="1" x14ac:dyDescent="0.25">
      <c r="A13" s="281" t="s">
        <v>393</v>
      </c>
      <c r="B13" s="281"/>
      <c r="C13" s="281"/>
      <c r="D13" s="281"/>
      <c r="E13" s="281"/>
    </row>
  </sheetData>
  <mergeCells count="2">
    <mergeCell ref="A10:B10"/>
    <mergeCell ref="A13:E13"/>
  </mergeCells>
  <pageMargins left="0.7" right="0.7" top="0.75" bottom="0.75" header="0.3" footer="0.3"/>
  <pageSetup fitToHeight="0" orientation="portrait" r:id="rId1"/>
  <headerFooter>
    <oddHeader>&amp;RAMENDMENT - 1</oddHeader>
    <oddFooter>&amp;L02/28/2020&amp;R&amp;P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G2" sqref="G2"/>
    </sheetView>
  </sheetViews>
  <sheetFormatPr defaultRowHeight="15" x14ac:dyDescent="0.25"/>
  <cols>
    <col min="1" max="1" width="12" customWidth="1"/>
    <col min="2" max="2" width="29.7109375" customWidth="1"/>
    <col min="3" max="3" width="10.28515625" hidden="1" customWidth="1"/>
    <col min="4" max="4" width="11.7109375" customWidth="1"/>
    <col min="5" max="5" width="12" customWidth="1"/>
    <col min="6" max="6" width="0" hidden="1" customWidth="1"/>
    <col min="7" max="7" width="12" customWidth="1"/>
  </cols>
  <sheetData>
    <row r="1" spans="1:7" ht="37.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10" t="s">
        <v>394</v>
      </c>
      <c r="C4" s="1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10</v>
      </c>
      <c r="B6" s="1"/>
      <c r="C6" s="3"/>
      <c r="D6" s="3"/>
      <c r="E6" s="3"/>
      <c r="G6" s="3"/>
    </row>
    <row r="7" spans="1:7" ht="15.75" thickBot="1" x14ac:dyDescent="0.3">
      <c r="A7" s="14" t="s">
        <v>395</v>
      </c>
      <c r="B7" s="1" t="s">
        <v>53</v>
      </c>
      <c r="C7" s="6">
        <v>4575</v>
      </c>
      <c r="D7" s="6">
        <v>6900</v>
      </c>
      <c r="E7" s="6">
        <v>7450</v>
      </c>
      <c r="G7" s="6">
        <v>7450</v>
      </c>
    </row>
    <row r="8" spans="1:7" x14ac:dyDescent="0.25">
      <c r="A8" s="280" t="s">
        <v>218</v>
      </c>
      <c r="B8" s="280"/>
      <c r="C8" s="5">
        <f>SUM(C7:C7)</f>
        <v>4575</v>
      </c>
      <c r="D8" s="5">
        <f>SUM(D7:D7)</f>
        <v>6900</v>
      </c>
      <c r="E8" s="5">
        <f>SUM(E7:E7)</f>
        <v>7450</v>
      </c>
      <c r="G8" s="5">
        <f>SUM(G7:G7)</f>
        <v>7450</v>
      </c>
    </row>
    <row r="9" spans="1:7" x14ac:dyDescent="0.25">
      <c r="A9" s="1"/>
      <c r="B9" s="1"/>
      <c r="C9" s="5"/>
      <c r="D9" s="5"/>
      <c r="E9" s="5"/>
      <c r="G9" s="5"/>
    </row>
    <row r="10" spans="1:7" x14ac:dyDescent="0.25">
      <c r="B10" s="30" t="s">
        <v>396</v>
      </c>
      <c r="C10" s="11">
        <f>C8</f>
        <v>4575</v>
      </c>
      <c r="D10" s="11">
        <f t="shared" ref="D10:E10" si="0">D8</f>
        <v>6900</v>
      </c>
      <c r="E10" s="11">
        <f t="shared" si="0"/>
        <v>7450</v>
      </c>
      <c r="G10" s="11">
        <f t="shared" ref="G10" si="1">G8</f>
        <v>7450</v>
      </c>
    </row>
  </sheetData>
  <mergeCells count="1">
    <mergeCell ref="A8:B8"/>
  </mergeCells>
  <pageMargins left="0.25" right="0.25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G2" sqref="G2"/>
    </sheetView>
  </sheetViews>
  <sheetFormatPr defaultRowHeight="15" x14ac:dyDescent="0.25"/>
  <cols>
    <col min="1" max="1" width="11.28515625" customWidth="1"/>
    <col min="2" max="2" width="27.42578125" customWidth="1"/>
    <col min="3" max="3" width="0" hidden="1" customWidth="1"/>
    <col min="4" max="4" width="10.5703125" customWidth="1"/>
    <col min="5" max="5" width="11.140625" customWidth="1"/>
    <col min="6" max="6" width="0" hidden="1" customWidth="1"/>
    <col min="7" max="7" width="11.140625" customWidth="1"/>
  </cols>
  <sheetData>
    <row r="1" spans="1:7" ht="34.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283" t="s">
        <v>397</v>
      </c>
      <c r="C4" s="283"/>
      <c r="D4" s="2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10</v>
      </c>
      <c r="B6" s="1"/>
      <c r="C6" s="3"/>
      <c r="D6" s="3"/>
      <c r="E6" s="3"/>
      <c r="G6" s="3"/>
    </row>
    <row r="7" spans="1:7" ht="15.75" thickBot="1" x14ac:dyDescent="0.3">
      <c r="A7" s="14" t="s">
        <v>398</v>
      </c>
      <c r="B7" s="1" t="s">
        <v>399</v>
      </c>
      <c r="C7" s="6">
        <v>2698.56</v>
      </c>
      <c r="D7" s="6">
        <v>3000</v>
      </c>
      <c r="E7" s="6">
        <v>3500</v>
      </c>
      <c r="G7" s="6">
        <v>3500</v>
      </c>
    </row>
    <row r="8" spans="1:7" x14ac:dyDescent="0.25">
      <c r="A8" s="280" t="s">
        <v>218</v>
      </c>
      <c r="B8" s="280"/>
      <c r="C8" s="5">
        <f>SUM(C7:C7)</f>
        <v>2698.56</v>
      </c>
      <c r="D8" s="5">
        <f>SUM(D7:D7)</f>
        <v>3000</v>
      </c>
      <c r="E8" s="5">
        <f>SUM(E7:E7)</f>
        <v>3500</v>
      </c>
      <c r="G8" s="5">
        <f>SUM(G7:G7)</f>
        <v>3500</v>
      </c>
    </row>
    <row r="9" spans="1:7" x14ac:dyDescent="0.25">
      <c r="A9" s="1"/>
      <c r="B9" s="1"/>
      <c r="C9" s="5"/>
      <c r="D9" s="5"/>
      <c r="E9" s="5"/>
      <c r="G9" s="5"/>
    </row>
    <row r="10" spans="1:7" x14ac:dyDescent="0.25">
      <c r="A10" s="282" t="s">
        <v>400</v>
      </c>
      <c r="B10" s="282"/>
      <c r="C10" s="11">
        <f>C8</f>
        <v>2698.56</v>
      </c>
      <c r="D10" s="11">
        <f t="shared" ref="D10:E10" si="0">D8</f>
        <v>3000</v>
      </c>
      <c r="E10" s="11">
        <f t="shared" si="0"/>
        <v>3500</v>
      </c>
      <c r="G10" s="11">
        <f t="shared" ref="G10" si="1">G8</f>
        <v>3500</v>
      </c>
    </row>
  </sheetData>
  <mergeCells count="3">
    <mergeCell ref="A10:B10"/>
    <mergeCell ref="A8:B8"/>
    <mergeCell ref="B4:C4"/>
  </mergeCells>
  <pageMargins left="0.7" right="0.7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G2" sqref="G2"/>
    </sheetView>
  </sheetViews>
  <sheetFormatPr defaultRowHeight="15" x14ac:dyDescent="0.25"/>
  <cols>
    <col min="1" max="1" width="13.85546875" customWidth="1"/>
    <col min="2" max="2" width="23.85546875" customWidth="1"/>
    <col min="3" max="3" width="11.5703125" hidden="1" customWidth="1"/>
    <col min="4" max="4" width="11.28515625" customWidth="1"/>
    <col min="5" max="5" width="10.28515625" customWidth="1"/>
    <col min="6" max="6" width="0" hidden="1" customWidth="1"/>
    <col min="7" max="7" width="10.28515625" customWidth="1"/>
  </cols>
  <sheetData>
    <row r="1" spans="1:7" ht="40.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284" t="s">
        <v>401</v>
      </c>
      <c r="C4" s="284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10</v>
      </c>
      <c r="B6" s="1"/>
      <c r="C6" s="3"/>
      <c r="D6" s="3"/>
      <c r="E6" s="3"/>
      <c r="G6" s="3"/>
    </row>
    <row r="7" spans="1:7" ht="15.75" thickBot="1" x14ac:dyDescent="0.3">
      <c r="A7" s="14" t="s">
        <v>402</v>
      </c>
      <c r="B7" s="1" t="s">
        <v>403</v>
      </c>
      <c r="C7" s="6">
        <v>224</v>
      </c>
      <c r="D7" s="6">
        <v>225</v>
      </c>
      <c r="E7" s="6">
        <v>250</v>
      </c>
      <c r="G7" s="6">
        <v>250</v>
      </c>
    </row>
    <row r="8" spans="1:7" x14ac:dyDescent="0.25">
      <c r="A8" s="280" t="s">
        <v>218</v>
      </c>
      <c r="B8" s="280"/>
      <c r="C8" s="5">
        <f>SUM(C7:C7)</f>
        <v>224</v>
      </c>
      <c r="D8" s="5">
        <f>SUM(D7:D7)</f>
        <v>225</v>
      </c>
      <c r="E8" s="5">
        <f>SUM(E7:E7)</f>
        <v>250</v>
      </c>
      <c r="G8" s="5">
        <f>SUM(G7:G7)</f>
        <v>250</v>
      </c>
    </row>
    <row r="9" spans="1:7" x14ac:dyDescent="0.25">
      <c r="A9" s="1"/>
      <c r="B9" s="1"/>
      <c r="C9" s="5"/>
      <c r="D9" s="5"/>
      <c r="E9" s="5"/>
      <c r="G9" s="5"/>
    </row>
    <row r="10" spans="1:7" x14ac:dyDescent="0.25">
      <c r="A10" s="282" t="s">
        <v>404</v>
      </c>
      <c r="B10" s="282"/>
      <c r="C10" s="11">
        <f>C8</f>
        <v>224</v>
      </c>
      <c r="D10" s="11">
        <f t="shared" ref="D10:E10" si="0">D8</f>
        <v>225</v>
      </c>
      <c r="E10" s="11">
        <f t="shared" si="0"/>
        <v>250</v>
      </c>
      <c r="G10" s="11">
        <f t="shared" ref="G10" si="1">G8</f>
        <v>250</v>
      </c>
    </row>
  </sheetData>
  <mergeCells count="3">
    <mergeCell ref="A10:B10"/>
    <mergeCell ref="A8:B8"/>
    <mergeCell ref="B4:C4"/>
  </mergeCells>
  <pageMargins left="0.7" right="0.7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selection activeCell="G2" sqref="G2"/>
    </sheetView>
  </sheetViews>
  <sheetFormatPr defaultRowHeight="15" x14ac:dyDescent="0.25"/>
  <cols>
    <col min="1" max="1" width="12.140625" customWidth="1"/>
    <col min="2" max="2" width="28" customWidth="1"/>
    <col min="3" max="3" width="12.42578125" hidden="1" customWidth="1"/>
    <col min="4" max="4" width="11" customWidth="1"/>
    <col min="5" max="5" width="12.140625" customWidth="1"/>
    <col min="6" max="6" width="0" hidden="1" customWidth="1"/>
    <col min="7" max="7" width="12.140625" customWidth="1"/>
  </cols>
  <sheetData>
    <row r="1" spans="1:7" ht="35.2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284" t="s">
        <v>405</v>
      </c>
      <c r="C4" s="284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11</v>
      </c>
      <c r="B6" s="1"/>
      <c r="C6" s="3"/>
      <c r="D6" s="3"/>
      <c r="E6" s="3"/>
      <c r="G6" s="3"/>
    </row>
    <row r="7" spans="1:7" ht="15.75" thickBot="1" x14ac:dyDescent="0.3">
      <c r="A7" s="14" t="s">
        <v>406</v>
      </c>
      <c r="B7" s="1" t="s">
        <v>56</v>
      </c>
      <c r="C7" s="6">
        <v>800</v>
      </c>
      <c r="D7" s="6">
        <v>800</v>
      </c>
      <c r="E7" s="6">
        <v>800</v>
      </c>
      <c r="G7" s="6">
        <v>800</v>
      </c>
    </row>
    <row r="8" spans="1:7" x14ac:dyDescent="0.25">
      <c r="A8" s="280" t="s">
        <v>322</v>
      </c>
      <c r="B8" s="280"/>
      <c r="C8" s="5">
        <f>SUM(C7:C7)</f>
        <v>800</v>
      </c>
      <c r="D8" s="5">
        <f>SUM(D7:D7)</f>
        <v>800</v>
      </c>
      <c r="E8" s="5">
        <f>SUM(E7:E7)</f>
        <v>800</v>
      </c>
      <c r="G8" s="5">
        <f>SUM(G7:G7)</f>
        <v>800</v>
      </c>
    </row>
    <row r="9" spans="1:7" x14ac:dyDescent="0.25">
      <c r="A9" s="1"/>
      <c r="B9" s="1"/>
      <c r="C9" s="5"/>
      <c r="D9" s="5"/>
      <c r="E9" s="5"/>
      <c r="G9" s="5"/>
    </row>
    <row r="10" spans="1:7" x14ac:dyDescent="0.25">
      <c r="B10" s="30" t="s">
        <v>407</v>
      </c>
      <c r="C10" s="11">
        <f>C8</f>
        <v>800</v>
      </c>
      <c r="D10" s="11">
        <f t="shared" ref="D10:E10" si="0">D8</f>
        <v>800</v>
      </c>
      <c r="E10" s="11">
        <f t="shared" si="0"/>
        <v>800</v>
      </c>
      <c r="G10" s="11">
        <f t="shared" ref="G10" si="1">G8</f>
        <v>800</v>
      </c>
    </row>
  </sheetData>
  <mergeCells count="2">
    <mergeCell ref="A8:B8"/>
    <mergeCell ref="B4:C4"/>
  </mergeCells>
  <pageMargins left="0.7" right="0.7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G2" sqref="G2"/>
    </sheetView>
  </sheetViews>
  <sheetFormatPr defaultRowHeight="15" x14ac:dyDescent="0.25"/>
  <cols>
    <col min="1" max="1" width="12.5703125" customWidth="1"/>
    <col min="2" max="2" width="26.7109375" customWidth="1"/>
    <col min="3" max="3" width="11.140625" hidden="1" customWidth="1"/>
    <col min="4" max="4" width="10.7109375" customWidth="1"/>
    <col min="5" max="5" width="12.140625" customWidth="1"/>
    <col min="6" max="6" width="0" hidden="1" customWidth="1"/>
    <col min="7" max="7" width="12.140625" customWidth="1"/>
  </cols>
  <sheetData>
    <row r="1" spans="1:7" ht="39.7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1" t="s">
        <v>408</v>
      </c>
      <c r="C4" s="1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381</v>
      </c>
      <c r="B6" s="1"/>
      <c r="C6" s="1"/>
      <c r="D6" s="1"/>
      <c r="E6" s="1"/>
      <c r="G6" s="1"/>
    </row>
    <row r="7" spans="1:7" ht="15.75" thickBot="1" x14ac:dyDescent="0.3">
      <c r="A7" s="14" t="s">
        <v>409</v>
      </c>
      <c r="B7" s="1" t="s">
        <v>410</v>
      </c>
      <c r="C7" s="6">
        <v>0</v>
      </c>
      <c r="D7" s="6">
        <v>0</v>
      </c>
      <c r="E7" s="6">
        <v>2500</v>
      </c>
      <c r="G7" s="6">
        <v>2500</v>
      </c>
    </row>
    <row r="8" spans="1:7" x14ac:dyDescent="0.25">
      <c r="A8" s="280" t="s">
        <v>384</v>
      </c>
      <c r="B8" s="280"/>
      <c r="C8" s="5">
        <f>SUM(C7:C7)</f>
        <v>0</v>
      </c>
      <c r="D8" s="5">
        <f>SUM(D7:D7)</f>
        <v>0</v>
      </c>
      <c r="E8" s="5">
        <f>SUM(E7:E7)</f>
        <v>2500</v>
      </c>
      <c r="G8" s="5">
        <f>SUM(G7:G7)</f>
        <v>2500</v>
      </c>
    </row>
    <row r="9" spans="1:7" x14ac:dyDescent="0.25">
      <c r="A9" s="1"/>
      <c r="B9" s="1"/>
      <c r="C9" s="3"/>
      <c r="D9" s="3"/>
      <c r="E9" s="3"/>
      <c r="G9" s="3"/>
    </row>
    <row r="10" spans="1:7" x14ac:dyDescent="0.25">
      <c r="A10" s="4" t="s">
        <v>11</v>
      </c>
      <c r="B10" s="1"/>
      <c r="C10" s="3"/>
      <c r="D10" s="3"/>
      <c r="E10" s="3"/>
      <c r="G10" s="3"/>
    </row>
    <row r="11" spans="1:7" ht="15.75" thickBot="1" x14ac:dyDescent="0.3">
      <c r="A11" s="14" t="s">
        <v>411</v>
      </c>
      <c r="B11" s="1" t="s">
        <v>412</v>
      </c>
      <c r="C11" s="6">
        <v>0</v>
      </c>
      <c r="D11" s="6">
        <v>6000</v>
      </c>
      <c r="E11" s="6">
        <v>6000</v>
      </c>
      <c r="G11" s="6">
        <v>6000</v>
      </c>
    </row>
    <row r="12" spans="1:7" x14ac:dyDescent="0.25">
      <c r="A12" s="1"/>
      <c r="B12" s="2" t="s">
        <v>322</v>
      </c>
      <c r="C12" s="5">
        <f>SUM(C11:C11)</f>
        <v>0</v>
      </c>
      <c r="D12" s="5">
        <f>SUM(D11:D11)</f>
        <v>6000</v>
      </c>
      <c r="E12" s="5">
        <f>SUM(E11:E11)</f>
        <v>6000</v>
      </c>
      <c r="G12" s="5">
        <f>SUM(G11:G11)</f>
        <v>6000</v>
      </c>
    </row>
    <row r="13" spans="1:7" x14ac:dyDescent="0.25">
      <c r="A13" s="1"/>
      <c r="B13" s="1"/>
      <c r="C13" s="5"/>
      <c r="D13" s="5"/>
      <c r="E13" s="5"/>
      <c r="G13" s="5"/>
    </row>
    <row r="14" spans="1:7" x14ac:dyDescent="0.25">
      <c r="B14" s="30" t="s">
        <v>413</v>
      </c>
      <c r="C14" s="11">
        <f>C8+C12</f>
        <v>0</v>
      </c>
      <c r="D14" s="11">
        <f t="shared" ref="D14:E14" si="0">D8+D12</f>
        <v>6000</v>
      </c>
      <c r="E14" s="11">
        <f t="shared" si="0"/>
        <v>8500</v>
      </c>
      <c r="G14" s="11">
        <f t="shared" ref="G14" si="1">G8+G12</f>
        <v>8500</v>
      </c>
    </row>
  </sheetData>
  <mergeCells count="1">
    <mergeCell ref="A8:B8"/>
  </mergeCells>
  <pageMargins left="0.25" right="0.25" top="0.75" bottom="0.75" header="0.3" footer="0.3"/>
  <pageSetup orientation="portrait" r:id="rId1"/>
  <headerFooter>
    <oddHeader>&amp;RAMENDMENT - 1</oddHeader>
    <oddFooter>&amp;L02/28/2020&amp;R&amp;P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G2" sqref="G2"/>
    </sheetView>
  </sheetViews>
  <sheetFormatPr defaultRowHeight="15" x14ac:dyDescent="0.25"/>
  <cols>
    <col min="1" max="1" width="11.5703125" customWidth="1"/>
    <col min="2" max="2" width="27.140625" customWidth="1"/>
    <col min="3" max="3" width="11.28515625" hidden="1" customWidth="1"/>
    <col min="4" max="4" width="11.42578125" customWidth="1"/>
    <col min="5" max="5" width="12.140625" customWidth="1"/>
    <col min="6" max="6" width="0" hidden="1" customWidth="1"/>
    <col min="7" max="7" width="12.140625" customWidth="1"/>
  </cols>
  <sheetData>
    <row r="1" spans="1:7" ht="36.75" customHeight="1" thickBot="1" x14ac:dyDescent="0.3">
      <c r="A1" s="7" t="s">
        <v>33</v>
      </c>
      <c r="B1" s="8"/>
      <c r="C1" s="9" t="s">
        <v>1</v>
      </c>
      <c r="D1" s="9" t="s">
        <v>2</v>
      </c>
      <c r="E1" s="9" t="s">
        <v>3</v>
      </c>
      <c r="G1" s="9" t="str">
        <f>+'GF - PD'!G5</f>
        <v>FY19-20 ACTUAL</v>
      </c>
    </row>
    <row r="2" spans="1:7" x14ac:dyDescent="0.25">
      <c r="A2" s="1"/>
      <c r="B2" s="1"/>
      <c r="C2" s="1"/>
      <c r="D2" s="1"/>
      <c r="E2" s="1"/>
      <c r="G2" s="1"/>
    </row>
    <row r="3" spans="1:7" x14ac:dyDescent="0.25">
      <c r="A3" s="2" t="s">
        <v>195</v>
      </c>
      <c r="B3" s="1"/>
      <c r="C3" s="1"/>
      <c r="D3" s="1"/>
      <c r="E3" s="1"/>
      <c r="G3" s="1"/>
    </row>
    <row r="4" spans="1:7" x14ac:dyDescent="0.25">
      <c r="A4" s="1"/>
      <c r="B4" s="10" t="s">
        <v>414</v>
      </c>
      <c r="C4" s="1"/>
      <c r="D4" s="1"/>
      <c r="E4" s="1"/>
      <c r="G4" s="1"/>
    </row>
    <row r="5" spans="1:7" x14ac:dyDescent="0.25">
      <c r="A5" s="1"/>
      <c r="B5" s="1"/>
      <c r="C5" s="1"/>
      <c r="D5" s="1"/>
      <c r="E5" s="1"/>
      <c r="G5" s="1"/>
    </row>
    <row r="6" spans="1:7" x14ac:dyDescent="0.25">
      <c r="A6" s="4" t="s">
        <v>381</v>
      </c>
      <c r="B6" s="1"/>
      <c r="C6" s="1"/>
      <c r="D6" s="1"/>
      <c r="E6" s="1"/>
      <c r="G6" s="1"/>
    </row>
    <row r="7" spans="1:7" ht="15.75" thickBot="1" x14ac:dyDescent="0.3">
      <c r="A7" s="14" t="s">
        <v>415</v>
      </c>
      <c r="B7" s="1" t="s">
        <v>410</v>
      </c>
      <c r="C7" s="6">
        <v>0</v>
      </c>
      <c r="D7" s="6">
        <v>0</v>
      </c>
      <c r="E7" s="6">
        <v>2000</v>
      </c>
      <c r="G7" s="6">
        <v>2000</v>
      </c>
    </row>
    <row r="8" spans="1:7" x14ac:dyDescent="0.25">
      <c r="A8" s="280" t="s">
        <v>384</v>
      </c>
      <c r="B8" s="280"/>
      <c r="C8" s="5">
        <f>SUM(C7:C7)</f>
        <v>0</v>
      </c>
      <c r="D8" s="5">
        <f>SUM(D7:D7)</f>
        <v>0</v>
      </c>
      <c r="E8" s="5">
        <f>SUM(E7:E7)</f>
        <v>2000</v>
      </c>
      <c r="G8" s="5">
        <f>SUM(G7:G7)</f>
        <v>2000</v>
      </c>
    </row>
    <row r="9" spans="1:7" x14ac:dyDescent="0.25">
      <c r="A9" s="1"/>
      <c r="B9" s="1"/>
      <c r="C9" s="3"/>
      <c r="D9" s="3"/>
      <c r="E9" s="3"/>
      <c r="G9" s="3"/>
    </row>
    <row r="10" spans="1:7" x14ac:dyDescent="0.25">
      <c r="A10" s="4" t="s">
        <v>11</v>
      </c>
      <c r="B10" s="1"/>
      <c r="C10" s="3"/>
      <c r="D10" s="3"/>
      <c r="E10" s="3"/>
      <c r="G10" s="3"/>
    </row>
    <row r="11" spans="1:7" ht="15.75" thickBot="1" x14ac:dyDescent="0.3">
      <c r="A11" s="14" t="s">
        <v>416</v>
      </c>
      <c r="B11" s="1" t="s">
        <v>58</v>
      </c>
      <c r="C11" s="6">
        <v>15186</v>
      </c>
      <c r="D11" s="6">
        <v>16500</v>
      </c>
      <c r="E11" s="6">
        <f>15.03*1121</f>
        <v>16848.63</v>
      </c>
      <c r="G11" s="6">
        <f>15.03*1121</f>
        <v>16848.63</v>
      </c>
    </row>
    <row r="12" spans="1:7" x14ac:dyDescent="0.25">
      <c r="A12" s="1"/>
      <c r="B12" s="2" t="s">
        <v>322</v>
      </c>
      <c r="C12" s="5">
        <f>SUM(C11:C11)</f>
        <v>15186</v>
      </c>
      <c r="D12" s="5">
        <f>SUM(D11:D11)</f>
        <v>16500</v>
      </c>
      <c r="E12" s="5">
        <f>SUM(E11:E11)</f>
        <v>16848.63</v>
      </c>
      <c r="G12" s="5">
        <f>SUM(G11:G11)</f>
        <v>16848.63</v>
      </c>
    </row>
    <row r="13" spans="1:7" x14ac:dyDescent="0.25">
      <c r="A13" s="1"/>
      <c r="B13" s="1"/>
      <c r="C13" s="5"/>
      <c r="D13" s="5"/>
      <c r="E13" s="5"/>
      <c r="G13" s="5"/>
    </row>
    <row r="14" spans="1:7" x14ac:dyDescent="0.25">
      <c r="B14" s="30" t="s">
        <v>417</v>
      </c>
      <c r="C14" s="11">
        <f>C8+C12</f>
        <v>15186</v>
      </c>
      <c r="D14" s="11">
        <f t="shared" ref="D14:E14" si="0">D8+D12</f>
        <v>16500</v>
      </c>
      <c r="E14" s="11">
        <f t="shared" si="0"/>
        <v>18848.63</v>
      </c>
      <c r="G14" s="11">
        <f t="shared" ref="G14" si="1">G8+G12</f>
        <v>18848.63</v>
      </c>
    </row>
  </sheetData>
  <mergeCells count="1">
    <mergeCell ref="A8:B8"/>
  </mergeCells>
  <pageMargins left="0.25" right="0.25" top="0.75" bottom="0.75" header="0.3" footer="0.3"/>
  <pageSetup orientation="portrait" r:id="rId1"/>
  <headerFooter>
    <oddHeader>&amp;RAMENDMENT -1</oddHeader>
    <oddFooter>&amp;L02/28/2020&amp;R&amp;P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Z40"/>
  <sheetViews>
    <sheetView zoomScale="90" zoomScaleNormal="90" workbookViewId="0">
      <selection activeCell="P26" sqref="P26:Q26"/>
    </sheetView>
  </sheetViews>
  <sheetFormatPr defaultColWidth="9.140625" defaultRowHeight="15.75" x14ac:dyDescent="0.25"/>
  <cols>
    <col min="1" max="1" width="11.140625" style="34" customWidth="1"/>
    <col min="2" max="2" width="32.28515625" style="34" customWidth="1"/>
    <col min="3" max="3" width="11.28515625" style="34" hidden="1" customWidth="1"/>
    <col min="4" max="5" width="11" style="34" hidden="1" customWidth="1"/>
    <col min="6" max="6" width="12.28515625" style="34" hidden="1" customWidth="1"/>
    <col min="7" max="7" width="10.7109375" style="34" hidden="1" customWidth="1"/>
    <col min="8" max="8" width="11.140625" style="34" hidden="1" customWidth="1"/>
    <col min="9" max="9" width="10.7109375" style="34" hidden="1" customWidth="1"/>
    <col min="10" max="11" width="11.28515625" style="34" hidden="1" customWidth="1"/>
    <col min="12" max="12" width="2.85546875" style="34" hidden="1" customWidth="1"/>
    <col min="13" max="13" width="14.5703125" style="34" customWidth="1"/>
    <col min="14" max="14" width="12.28515625" style="34" customWidth="1"/>
    <col min="15" max="15" width="16.28515625" style="34" customWidth="1"/>
    <col min="16" max="16" width="9.140625" style="33"/>
    <col min="17" max="16384" width="9.140625" style="34"/>
  </cols>
  <sheetData>
    <row r="1" spans="1:26" x14ac:dyDescent="0.25">
      <c r="A1" s="32" t="s">
        <v>563</v>
      </c>
      <c r="B1" s="32"/>
      <c r="C1" s="32"/>
      <c r="D1" s="32"/>
      <c r="E1" s="32"/>
      <c r="F1" s="32"/>
      <c r="G1" s="32"/>
      <c r="H1" s="32"/>
    </row>
    <row r="2" spans="1:26" x14ac:dyDescent="0.25">
      <c r="A2" s="32" t="s">
        <v>564</v>
      </c>
      <c r="B2" s="32"/>
      <c r="C2" s="32"/>
      <c r="D2" s="32"/>
      <c r="E2" s="32"/>
      <c r="F2" s="32"/>
      <c r="G2" s="32"/>
      <c r="H2" s="32"/>
    </row>
    <row r="3" spans="1:26" x14ac:dyDescent="0.25">
      <c r="A3" s="32" t="str">
        <f>+'GF - DS'!A3</f>
        <v>FISCAL YEAR 2023-2024</v>
      </c>
      <c r="B3" s="32"/>
      <c r="C3" s="32"/>
      <c r="D3" s="32"/>
      <c r="E3" s="32"/>
      <c r="F3" s="32"/>
      <c r="G3" s="32"/>
      <c r="H3" s="32"/>
    </row>
    <row r="5" spans="1:26" s="40" customFormat="1" ht="50.25" customHeight="1" thickBot="1" x14ac:dyDescent="0.3">
      <c r="A5" s="79" t="s">
        <v>695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">
        <v>670</v>
      </c>
      <c r="K5" s="197" t="s">
        <v>671</v>
      </c>
      <c r="L5" s="164"/>
      <c r="M5" s="120" t="s">
        <v>703</v>
      </c>
      <c r="N5" s="37" t="s">
        <v>687</v>
      </c>
      <c r="O5" s="227" t="s">
        <v>685</v>
      </c>
      <c r="P5" s="264"/>
      <c r="Q5" s="192"/>
      <c r="R5" s="192"/>
      <c r="S5" s="192"/>
      <c r="T5" s="192"/>
      <c r="U5" s="192"/>
      <c r="V5" s="192"/>
      <c r="W5" s="192"/>
      <c r="X5" s="192"/>
      <c r="Y5" s="192"/>
      <c r="Z5" s="192"/>
    </row>
    <row r="6" spans="1:26" hidden="1" x14ac:dyDescent="0.25">
      <c r="A6" s="33"/>
      <c r="B6" s="33"/>
      <c r="C6" s="33"/>
      <c r="D6" s="33"/>
      <c r="E6" s="57"/>
      <c r="G6" s="59"/>
      <c r="I6" s="71"/>
      <c r="K6" s="198"/>
      <c r="L6" s="42"/>
      <c r="O6" s="228"/>
    </row>
    <row r="7" spans="1:26" hidden="1" x14ac:dyDescent="0.25">
      <c r="A7" s="39" t="s">
        <v>195</v>
      </c>
      <c r="B7" s="33"/>
      <c r="C7" s="33"/>
      <c r="D7" s="33"/>
      <c r="E7" s="57"/>
      <c r="G7" s="59"/>
      <c r="I7" s="71"/>
      <c r="K7" s="198"/>
      <c r="L7" s="42"/>
      <c r="O7" s="228"/>
    </row>
    <row r="8" spans="1:26" hidden="1" x14ac:dyDescent="0.25">
      <c r="A8" s="139" t="s">
        <v>331</v>
      </c>
      <c r="B8" s="106" t="s">
        <v>627</v>
      </c>
      <c r="C8" s="33"/>
      <c r="D8" s="33"/>
      <c r="E8" s="57"/>
      <c r="G8" s="59"/>
      <c r="I8" s="71"/>
      <c r="K8" s="198"/>
      <c r="L8" s="42"/>
      <c r="O8" s="228"/>
    </row>
    <row r="9" spans="1:26" hidden="1" x14ac:dyDescent="0.25">
      <c r="A9" s="33"/>
      <c r="B9" s="33"/>
      <c r="C9" s="33"/>
      <c r="D9" s="33"/>
      <c r="E9" s="57"/>
      <c r="G9" s="136"/>
      <c r="H9" s="116"/>
      <c r="I9" s="71"/>
      <c r="K9" s="198"/>
      <c r="L9" s="42"/>
      <c r="O9" s="228"/>
    </row>
    <row r="10" spans="1:26" x14ac:dyDescent="0.25">
      <c r="A10" s="89" t="s">
        <v>198</v>
      </c>
      <c r="B10" s="33"/>
      <c r="C10" s="33"/>
      <c r="D10" s="33"/>
      <c r="E10" s="57"/>
      <c r="G10" s="59"/>
      <c r="I10" s="71"/>
      <c r="K10" s="198"/>
      <c r="L10" s="42"/>
      <c r="M10" s="33"/>
      <c r="N10" s="33"/>
      <c r="O10" s="232"/>
    </row>
    <row r="11" spans="1:26" x14ac:dyDescent="0.25">
      <c r="A11" s="33" t="s">
        <v>333</v>
      </c>
      <c r="B11" s="33" t="s">
        <v>200</v>
      </c>
      <c r="C11" s="91">
        <v>166247</v>
      </c>
      <c r="D11" s="90">
        <v>132671</v>
      </c>
      <c r="E11" s="135">
        <v>0</v>
      </c>
      <c r="F11" s="90"/>
      <c r="G11" s="135"/>
      <c r="H11" s="90"/>
      <c r="I11" s="137"/>
      <c r="J11" s="90">
        <v>56160</v>
      </c>
      <c r="K11" s="199">
        <v>30720</v>
      </c>
      <c r="L11" s="42"/>
      <c r="M11" s="222">
        <v>110406</v>
      </c>
      <c r="N11" s="222">
        <v>0</v>
      </c>
      <c r="O11" s="229">
        <v>114816</v>
      </c>
    </row>
    <row r="12" spans="1:26" x14ac:dyDescent="0.25">
      <c r="A12" s="33" t="s">
        <v>334</v>
      </c>
      <c r="B12" s="33" t="s">
        <v>249</v>
      </c>
      <c r="C12" s="91">
        <v>0</v>
      </c>
      <c r="D12" s="90">
        <v>0</v>
      </c>
      <c r="E12" s="135">
        <v>0</v>
      </c>
      <c r="F12" s="90"/>
      <c r="G12" s="135"/>
      <c r="H12" s="90"/>
      <c r="I12" s="137"/>
      <c r="J12" s="90">
        <v>0</v>
      </c>
      <c r="K12" s="199">
        <f t="shared" ref="K12:K17" si="0">J12</f>
        <v>0</v>
      </c>
      <c r="L12" s="42"/>
      <c r="M12" s="222">
        <v>2500</v>
      </c>
      <c r="N12" s="222">
        <v>0</v>
      </c>
      <c r="O12" s="229">
        <f t="shared" ref="O12:O27" si="1">(M12*3%)+M12</f>
        <v>2575</v>
      </c>
    </row>
    <row r="13" spans="1:26" x14ac:dyDescent="0.25">
      <c r="A13" s="33" t="s">
        <v>335</v>
      </c>
      <c r="B13" s="33" t="s">
        <v>336</v>
      </c>
      <c r="C13" s="91">
        <f>((10.75+0.88)*12)*4</f>
        <v>558.24</v>
      </c>
      <c r="D13" s="90">
        <f>((10.75+0.88)*12)*3</f>
        <v>418.68</v>
      </c>
      <c r="E13" s="135">
        <v>0</v>
      </c>
      <c r="F13" s="90"/>
      <c r="G13" s="135"/>
      <c r="H13" s="90"/>
      <c r="I13" s="137"/>
      <c r="J13" s="90">
        <v>70</v>
      </c>
      <c r="K13" s="199">
        <v>0</v>
      </c>
      <c r="L13" s="42"/>
      <c r="M13" s="222">
        <v>140</v>
      </c>
      <c r="N13" s="222">
        <v>0</v>
      </c>
      <c r="O13" s="229">
        <v>422</v>
      </c>
    </row>
    <row r="14" spans="1:26" x14ac:dyDescent="0.25">
      <c r="A14" s="33" t="s">
        <v>337</v>
      </c>
      <c r="B14" s="33" t="s">
        <v>204</v>
      </c>
      <c r="C14" s="91">
        <v>2200</v>
      </c>
      <c r="D14" s="90">
        <v>1990</v>
      </c>
      <c r="E14" s="135">
        <v>0</v>
      </c>
      <c r="F14" s="90"/>
      <c r="G14" s="135"/>
      <c r="H14" s="90"/>
      <c r="I14" s="137"/>
      <c r="J14" s="90">
        <v>814</v>
      </c>
      <c r="K14" s="199">
        <v>826</v>
      </c>
      <c r="L14" s="42"/>
      <c r="M14" s="222">
        <v>1601</v>
      </c>
      <c r="N14" s="222">
        <v>0</v>
      </c>
      <c r="O14" s="229">
        <f t="shared" si="1"/>
        <v>1649.03</v>
      </c>
    </row>
    <row r="15" spans="1:26" x14ac:dyDescent="0.25">
      <c r="A15" s="33" t="s">
        <v>339</v>
      </c>
      <c r="B15" s="33" t="s">
        <v>208</v>
      </c>
      <c r="C15" s="91">
        <v>9679</v>
      </c>
      <c r="D15" s="90">
        <v>7761</v>
      </c>
      <c r="E15" s="135">
        <v>0</v>
      </c>
      <c r="F15" s="90"/>
      <c r="G15" s="135"/>
      <c r="H15" s="90"/>
      <c r="I15" s="137"/>
      <c r="J15" s="90">
        <v>2774</v>
      </c>
      <c r="K15" s="199">
        <v>1409</v>
      </c>
      <c r="L15" s="42"/>
      <c r="M15" s="222">
        <v>5498</v>
      </c>
      <c r="N15" s="222">
        <v>0</v>
      </c>
      <c r="O15" s="229">
        <f t="shared" si="1"/>
        <v>5662.94</v>
      </c>
    </row>
    <row r="16" spans="1:26" x14ac:dyDescent="0.25">
      <c r="A16" s="33" t="s">
        <v>340</v>
      </c>
      <c r="B16" s="33" t="s">
        <v>210</v>
      </c>
      <c r="C16" s="91">
        <f>(728.72*12)*3</f>
        <v>26233.919999999998</v>
      </c>
      <c r="D16" s="90">
        <f>(728.72*12)*2</f>
        <v>17489.28</v>
      </c>
      <c r="E16" s="135">
        <v>0</v>
      </c>
      <c r="F16" s="90"/>
      <c r="G16" s="135"/>
      <c r="H16" s="90"/>
      <c r="I16" s="137"/>
      <c r="J16" s="90">
        <v>9543</v>
      </c>
      <c r="K16" s="199">
        <v>0</v>
      </c>
      <c r="L16" s="42"/>
      <c r="M16" s="222">
        <v>20440</v>
      </c>
      <c r="N16" s="222">
        <v>0</v>
      </c>
      <c r="O16" s="229">
        <v>22090</v>
      </c>
    </row>
    <row r="17" spans="1:15" x14ac:dyDescent="0.25">
      <c r="A17" s="33" t="s">
        <v>341</v>
      </c>
      <c r="B17" s="33" t="s">
        <v>212</v>
      </c>
      <c r="C17" s="91">
        <v>6855</v>
      </c>
      <c r="D17" s="90">
        <v>4001</v>
      </c>
      <c r="E17" s="135">
        <v>0</v>
      </c>
      <c r="F17" s="90"/>
      <c r="G17" s="135"/>
      <c r="H17" s="90"/>
      <c r="I17" s="137"/>
      <c r="J17" s="90">
        <v>2000</v>
      </c>
      <c r="K17" s="199">
        <f t="shared" si="0"/>
        <v>2000</v>
      </c>
      <c r="L17" s="42"/>
      <c r="M17" s="222">
        <v>4000</v>
      </c>
      <c r="N17" s="222">
        <v>0</v>
      </c>
      <c r="O17" s="229">
        <f t="shared" si="1"/>
        <v>4120</v>
      </c>
    </row>
    <row r="18" spans="1:15" x14ac:dyDescent="0.25">
      <c r="A18" s="33" t="s">
        <v>338</v>
      </c>
      <c r="B18" s="33" t="s">
        <v>206</v>
      </c>
      <c r="C18" s="91"/>
      <c r="D18" s="90">
        <v>0</v>
      </c>
      <c r="E18" s="135">
        <v>0</v>
      </c>
      <c r="F18" s="90"/>
      <c r="G18" s="135"/>
      <c r="H18" s="90"/>
      <c r="I18" s="137"/>
      <c r="J18" s="90">
        <v>3483</v>
      </c>
      <c r="K18" s="199">
        <v>0</v>
      </c>
      <c r="L18" s="42"/>
      <c r="M18" s="222">
        <v>6845</v>
      </c>
      <c r="N18" s="222">
        <v>0</v>
      </c>
      <c r="O18" s="229">
        <f t="shared" si="1"/>
        <v>7050.35</v>
      </c>
    </row>
    <row r="19" spans="1:15" ht="16.5" thickBot="1" x14ac:dyDescent="0.3">
      <c r="A19" s="33" t="s">
        <v>591</v>
      </c>
      <c r="B19" s="33" t="s">
        <v>342</v>
      </c>
      <c r="C19" s="94">
        <v>892</v>
      </c>
      <c r="D19" s="123">
        <v>2200</v>
      </c>
      <c r="E19" s="142">
        <v>2152.15</v>
      </c>
      <c r="F19" s="123"/>
      <c r="G19" s="142"/>
      <c r="H19" s="123"/>
      <c r="I19" s="144"/>
      <c r="J19" s="123">
        <v>800</v>
      </c>
      <c r="K19" s="200">
        <v>0</v>
      </c>
      <c r="L19" s="42"/>
      <c r="M19" s="223">
        <v>2000</v>
      </c>
      <c r="N19" s="223">
        <v>0</v>
      </c>
      <c r="O19" s="230">
        <f t="shared" si="1"/>
        <v>2060</v>
      </c>
    </row>
    <row r="20" spans="1:15" x14ac:dyDescent="0.25">
      <c r="A20" s="277" t="s">
        <v>213</v>
      </c>
      <c r="B20" s="277"/>
      <c r="C20" s="91">
        <f>SUM(C11:C19)</f>
        <v>212665.15999999997</v>
      </c>
      <c r="D20" s="91">
        <f>SUM(D11:D19)</f>
        <v>166530.96</v>
      </c>
      <c r="E20" s="127"/>
      <c r="F20" s="91"/>
      <c r="G20" s="127"/>
      <c r="H20" s="91"/>
      <c r="I20" s="58"/>
      <c r="J20" s="91">
        <f t="shared" ref="J20:M20" si="2">SUM(J11:J19)</f>
        <v>75644</v>
      </c>
      <c r="K20" s="201">
        <f t="shared" si="2"/>
        <v>34955</v>
      </c>
      <c r="L20" s="42"/>
      <c r="M20" s="225">
        <f t="shared" si="2"/>
        <v>153430</v>
      </c>
      <c r="N20" s="225">
        <f>SUM(N11:N19)</f>
        <v>0</v>
      </c>
      <c r="O20" s="231">
        <f>SUM(O11:O19)</f>
        <v>160445.32</v>
      </c>
    </row>
    <row r="21" spans="1:15" x14ac:dyDescent="0.25">
      <c r="A21" s="33"/>
      <c r="B21" s="33"/>
      <c r="C21" s="91"/>
      <c r="D21" s="90"/>
      <c r="E21" s="135"/>
      <c r="F21" s="90"/>
      <c r="G21" s="135"/>
      <c r="H21" s="90"/>
      <c r="I21" s="137"/>
      <c r="J21" s="90"/>
      <c r="K21" s="199"/>
      <c r="L21" s="42"/>
      <c r="M21" s="33"/>
      <c r="N21" s="33"/>
      <c r="O21" s="229"/>
    </row>
    <row r="22" spans="1:15" x14ac:dyDescent="0.25">
      <c r="A22" s="89" t="s">
        <v>12</v>
      </c>
      <c r="B22" s="33"/>
      <c r="C22" s="91"/>
      <c r="D22" s="90"/>
      <c r="E22" s="135"/>
      <c r="F22" s="90"/>
      <c r="G22" s="135"/>
      <c r="H22" s="90"/>
      <c r="I22" s="137"/>
      <c r="J22" s="90"/>
      <c r="K22" s="199"/>
      <c r="L22" s="42"/>
      <c r="M22" s="33"/>
      <c r="N22" s="33"/>
      <c r="O22" s="229"/>
    </row>
    <row r="23" spans="1:15" hidden="1" x14ac:dyDescent="0.25">
      <c r="A23" s="150" t="s">
        <v>343</v>
      </c>
      <c r="B23" s="57" t="s">
        <v>261</v>
      </c>
      <c r="C23" s="127">
        <v>0</v>
      </c>
      <c r="D23" s="135">
        <v>0</v>
      </c>
      <c r="E23" s="135"/>
      <c r="F23" s="135">
        <v>0</v>
      </c>
      <c r="G23" s="135"/>
      <c r="H23" s="135"/>
      <c r="I23" s="137"/>
      <c r="J23" s="135"/>
      <c r="K23" s="199"/>
      <c r="L23" s="42"/>
      <c r="M23" s="33"/>
      <c r="N23" s="33"/>
      <c r="O23" s="229">
        <f t="shared" si="1"/>
        <v>0</v>
      </c>
    </row>
    <row r="24" spans="1:15" x14ac:dyDescent="0.25">
      <c r="A24" s="147" t="s">
        <v>344</v>
      </c>
      <c r="B24" s="33" t="s">
        <v>345</v>
      </c>
      <c r="C24" s="91">
        <v>4251</v>
      </c>
      <c r="D24" s="90">
        <v>0</v>
      </c>
      <c r="E24" s="135">
        <v>0</v>
      </c>
      <c r="F24" s="90"/>
      <c r="G24" s="135"/>
      <c r="H24" s="90"/>
      <c r="I24" s="137"/>
      <c r="J24" s="90">
        <v>600</v>
      </c>
      <c r="K24" s="199">
        <v>0</v>
      </c>
      <c r="L24" s="42"/>
      <c r="M24" s="222">
        <v>600</v>
      </c>
      <c r="N24" s="222">
        <v>0</v>
      </c>
      <c r="O24" s="229">
        <f t="shared" si="1"/>
        <v>618</v>
      </c>
    </row>
    <row r="25" spans="1:15" x14ac:dyDescent="0.25">
      <c r="A25" s="147" t="s">
        <v>347</v>
      </c>
      <c r="B25" s="33" t="s">
        <v>222</v>
      </c>
      <c r="C25" s="91">
        <v>0</v>
      </c>
      <c r="D25" s="90">
        <v>3500</v>
      </c>
      <c r="E25" s="135">
        <v>0</v>
      </c>
      <c r="F25" s="90"/>
      <c r="G25" s="135"/>
      <c r="H25" s="90"/>
      <c r="I25" s="137"/>
      <c r="J25" s="90">
        <v>1500</v>
      </c>
      <c r="K25" s="199">
        <v>0</v>
      </c>
      <c r="L25" s="42"/>
      <c r="M25" s="222">
        <v>3000</v>
      </c>
      <c r="N25" s="222">
        <v>0</v>
      </c>
      <c r="O25" s="229">
        <v>1400</v>
      </c>
    </row>
    <row r="26" spans="1:15" x14ac:dyDescent="0.25">
      <c r="A26" s="147" t="s">
        <v>348</v>
      </c>
      <c r="B26" s="33" t="s">
        <v>224</v>
      </c>
      <c r="C26" s="91">
        <v>0</v>
      </c>
      <c r="D26" s="90">
        <v>12000</v>
      </c>
      <c r="E26" s="135">
        <v>0</v>
      </c>
      <c r="F26" s="90"/>
      <c r="G26" s="135"/>
      <c r="H26" s="90"/>
      <c r="I26" s="137"/>
      <c r="J26" s="90">
        <v>2000</v>
      </c>
      <c r="K26" s="199">
        <v>1340</v>
      </c>
      <c r="L26" s="42"/>
      <c r="M26" s="222">
        <v>2000</v>
      </c>
      <c r="N26" s="222">
        <v>0</v>
      </c>
      <c r="O26" s="229">
        <f t="shared" si="1"/>
        <v>2060</v>
      </c>
    </row>
    <row r="27" spans="1:15" x14ac:dyDescent="0.25">
      <c r="A27" s="147" t="s">
        <v>354</v>
      </c>
      <c r="B27" s="33" t="s">
        <v>355</v>
      </c>
      <c r="C27" s="91">
        <v>3382</v>
      </c>
      <c r="D27" s="90">
        <v>8500</v>
      </c>
      <c r="E27" s="135">
        <f>5725.58+612.48</f>
        <v>6338.0599999999995</v>
      </c>
      <c r="F27" s="90"/>
      <c r="G27" s="135"/>
      <c r="H27" s="90"/>
      <c r="I27" s="137"/>
      <c r="J27" s="90">
        <v>2000</v>
      </c>
      <c r="K27" s="199">
        <v>250</v>
      </c>
      <c r="L27" s="42"/>
      <c r="M27" s="222">
        <v>3000</v>
      </c>
      <c r="N27" s="222">
        <v>0</v>
      </c>
      <c r="O27" s="229">
        <f t="shared" si="1"/>
        <v>3090</v>
      </c>
    </row>
    <row r="28" spans="1:15" x14ac:dyDescent="0.25">
      <c r="A28" s="147" t="s">
        <v>350</v>
      </c>
      <c r="B28" s="33" t="s">
        <v>351</v>
      </c>
      <c r="C28" s="91">
        <v>0</v>
      </c>
      <c r="D28" s="90">
        <v>0</v>
      </c>
      <c r="E28" s="135">
        <v>0</v>
      </c>
      <c r="F28" s="90"/>
      <c r="G28" s="135"/>
      <c r="H28" s="90"/>
      <c r="I28" s="137"/>
      <c r="J28" s="90">
        <v>924</v>
      </c>
      <c r="K28" s="199">
        <v>92</v>
      </c>
      <c r="L28" s="42"/>
      <c r="M28" s="222">
        <v>1848</v>
      </c>
      <c r="N28" s="222">
        <v>0</v>
      </c>
      <c r="O28" s="229">
        <v>720</v>
      </c>
    </row>
    <row r="29" spans="1:15" ht="16.5" thickBot="1" x14ac:dyDescent="0.3">
      <c r="A29" s="147" t="s">
        <v>356</v>
      </c>
      <c r="B29" s="33" t="s">
        <v>357</v>
      </c>
      <c r="C29" s="94">
        <v>6527.34</v>
      </c>
      <c r="D29" s="123">
        <v>0</v>
      </c>
      <c r="E29" s="142">
        <v>0</v>
      </c>
      <c r="F29" s="123"/>
      <c r="G29" s="142"/>
      <c r="H29" s="123"/>
      <c r="I29" s="144"/>
      <c r="J29" s="123">
        <v>1545</v>
      </c>
      <c r="K29" s="200">
        <f t="shared" ref="K29" si="3">J29</f>
        <v>1545</v>
      </c>
      <c r="L29" s="42"/>
      <c r="M29" s="223">
        <v>1545</v>
      </c>
      <c r="N29" s="223">
        <v>0</v>
      </c>
      <c r="O29" s="230" t="s">
        <v>705</v>
      </c>
    </row>
    <row r="30" spans="1:15" x14ac:dyDescent="0.25">
      <c r="A30" s="277" t="s">
        <v>227</v>
      </c>
      <c r="B30" s="277"/>
      <c r="C30" s="91">
        <f>SUM(C23:C29)</f>
        <v>14160.34</v>
      </c>
      <c r="D30" s="91">
        <f>SUM(D23:D29)</f>
        <v>24000</v>
      </c>
      <c r="E30" s="127">
        <f>SUM(E25:E29)</f>
        <v>6338.0599999999995</v>
      </c>
      <c r="F30" s="91"/>
      <c r="G30" s="127"/>
      <c r="H30" s="91"/>
      <c r="I30" s="58"/>
      <c r="J30" s="91">
        <f>SUM(J23:J29)</f>
        <v>8569</v>
      </c>
      <c r="K30" s="201">
        <f>SUM(K23:K29)</f>
        <v>3227</v>
      </c>
      <c r="L30" s="42"/>
      <c r="M30" s="225">
        <f>SUM(M23:M29)</f>
        <v>11993</v>
      </c>
      <c r="N30" s="225">
        <f>SUM(N24:N29)</f>
        <v>0</v>
      </c>
      <c r="O30" s="231">
        <f>SUM(O23:O29)</f>
        <v>7888</v>
      </c>
    </row>
    <row r="31" spans="1:15" hidden="1" x14ac:dyDescent="0.25">
      <c r="A31" s="89" t="s">
        <v>374</v>
      </c>
      <c r="B31" s="33"/>
      <c r="C31" s="91"/>
      <c r="D31" s="90"/>
      <c r="E31" s="135"/>
      <c r="F31" s="90"/>
      <c r="G31" s="90"/>
      <c r="H31" s="90"/>
      <c r="I31" s="90"/>
      <c r="J31" s="90"/>
      <c r="K31" s="90"/>
      <c r="L31" s="42"/>
      <c r="M31" s="33"/>
      <c r="N31" s="33"/>
      <c r="O31" s="232"/>
    </row>
    <row r="32" spans="1:15" ht="16.5" hidden="1" thickBot="1" x14ac:dyDescent="0.3">
      <c r="A32" s="147" t="s">
        <v>375</v>
      </c>
      <c r="B32" s="33" t="s">
        <v>376</v>
      </c>
      <c r="C32" s="94">
        <v>0</v>
      </c>
      <c r="D32" s="123">
        <v>0</v>
      </c>
      <c r="E32" s="142"/>
      <c r="F32" s="123"/>
      <c r="G32" s="123"/>
      <c r="H32" s="123"/>
      <c r="I32" s="123"/>
      <c r="J32" s="123">
        <v>0</v>
      </c>
      <c r="K32" s="90"/>
      <c r="L32" s="42"/>
      <c r="M32" s="33"/>
      <c r="N32" s="33"/>
      <c r="O32" s="232"/>
    </row>
    <row r="33" spans="1:15" hidden="1" x14ac:dyDescent="0.25">
      <c r="A33" s="33"/>
      <c r="B33" s="53" t="s">
        <v>377</v>
      </c>
      <c r="C33" s="91">
        <f>SUM(C32)</f>
        <v>0</v>
      </c>
      <c r="D33" s="90">
        <f t="shared" ref="D33" si="4">SUM(D32)</f>
        <v>0</v>
      </c>
      <c r="E33" s="135"/>
      <c r="F33" s="90"/>
      <c r="G33" s="90"/>
      <c r="H33" s="90"/>
      <c r="I33" s="90"/>
      <c r="J33" s="90">
        <f t="shared" ref="J33" si="5">SUM(J32)</f>
        <v>0</v>
      </c>
      <c r="K33" s="90"/>
      <c r="L33" s="42"/>
      <c r="M33" s="33"/>
      <c r="N33" s="33"/>
      <c r="O33" s="232"/>
    </row>
    <row r="34" spans="1:15" x14ac:dyDescent="0.25">
      <c r="A34" s="33"/>
      <c r="B34" s="33"/>
      <c r="C34" s="91"/>
      <c r="D34" s="90"/>
      <c r="E34" s="135"/>
      <c r="F34" s="90"/>
      <c r="G34" s="90"/>
      <c r="H34" s="90"/>
      <c r="I34" s="90"/>
      <c r="J34" s="90"/>
      <c r="K34" s="90"/>
      <c r="L34" s="42"/>
      <c r="M34" s="33"/>
      <c r="N34" s="33"/>
      <c r="O34" s="232"/>
    </row>
    <row r="35" spans="1:15" ht="21" customHeight="1" x14ac:dyDescent="0.25">
      <c r="B35" s="153" t="s">
        <v>696</v>
      </c>
      <c r="C35" s="107" t="e">
        <f>C20+C30+#REF!+#REF!</f>
        <v>#REF!</v>
      </c>
      <c r="D35" s="107" t="e">
        <f>D20+D30+#REF!+#REF!</f>
        <v>#REF!</v>
      </c>
      <c r="E35" s="55" t="e">
        <f>E20+E30+#REF!+#REF!</f>
        <v>#REF!</v>
      </c>
      <c r="F35" s="107"/>
      <c r="G35" s="107"/>
      <c r="H35" s="107"/>
      <c r="I35" s="107"/>
      <c r="J35" s="107">
        <f>+J20+J30</f>
        <v>84213</v>
      </c>
      <c r="K35" s="107">
        <f>+K20+K30</f>
        <v>38182</v>
      </c>
      <c r="L35" s="42"/>
      <c r="M35" s="240">
        <f>+M20+M30</f>
        <v>165423</v>
      </c>
      <c r="N35" s="240">
        <f t="shared" ref="N35:O35" si="6">+N20+N30</f>
        <v>0</v>
      </c>
      <c r="O35" s="243">
        <f t="shared" si="6"/>
        <v>168333.32</v>
      </c>
    </row>
    <row r="36" spans="1:15" ht="13.5" hidden="1" customHeight="1" x14ac:dyDescent="0.25">
      <c r="A36" s="156" t="s">
        <v>628</v>
      </c>
    </row>
    <row r="37" spans="1:15" hidden="1" x14ac:dyDescent="0.25"/>
    <row r="38" spans="1:15" ht="50.45" hidden="1" customHeight="1" x14ac:dyDescent="0.25">
      <c r="A38" s="279" t="s">
        <v>640</v>
      </c>
      <c r="B38" s="279"/>
    </row>
    <row r="39" spans="1:15" hidden="1" x14ac:dyDescent="0.25">
      <c r="A39" s="34">
        <v>2023</v>
      </c>
      <c r="B39" s="34" t="s">
        <v>681</v>
      </c>
    </row>
    <row r="40" spans="1:15" hidden="1" x14ac:dyDescent="0.25">
      <c r="A40" s="34">
        <v>2023</v>
      </c>
      <c r="B40" s="34" t="s">
        <v>682</v>
      </c>
    </row>
  </sheetData>
  <mergeCells count="3">
    <mergeCell ref="A20:B20"/>
    <mergeCell ref="A30:B30"/>
    <mergeCell ref="A38:B38"/>
  </mergeCells>
  <pageMargins left="0.7" right="0.7" top="0.75" bottom="0.75" header="0.3" footer="0.3"/>
  <pageSetup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29"/>
  <sheetViews>
    <sheetView zoomScaleNormal="100" workbookViewId="0">
      <selection activeCell="O10" sqref="O10:S10"/>
    </sheetView>
  </sheetViews>
  <sheetFormatPr defaultColWidth="9.140625" defaultRowHeight="15.75" x14ac:dyDescent="0.25"/>
  <cols>
    <col min="1" max="1" width="48.5703125" style="34" customWidth="1"/>
    <col min="2" max="2" width="12.7109375" style="34" hidden="1" customWidth="1"/>
    <col min="3" max="3" width="12.85546875" style="34" hidden="1" customWidth="1"/>
    <col min="4" max="4" width="12.28515625" style="34" hidden="1" customWidth="1"/>
    <col min="5" max="6" width="14.28515625" style="34" hidden="1" customWidth="1"/>
    <col min="7" max="7" width="17.140625" style="34" hidden="1" customWidth="1"/>
    <col min="8" max="8" width="13" style="34" hidden="1" customWidth="1"/>
    <col min="9" max="9" width="14.5703125" style="34" hidden="1" customWidth="1"/>
    <col min="10" max="10" width="14.28515625" style="34" hidden="1" customWidth="1"/>
    <col min="11" max="11" width="3.28515625" style="34" hidden="1" customWidth="1"/>
    <col min="12" max="12" width="19.7109375" style="34" customWidth="1"/>
    <col min="13" max="13" width="12" style="34" customWidth="1"/>
    <col min="14" max="14" width="17.85546875" style="34" customWidth="1"/>
    <col min="15" max="16384" width="9.140625" style="34"/>
  </cols>
  <sheetData>
    <row r="1" spans="1:17" x14ac:dyDescent="0.25">
      <c r="A1" s="35" t="s">
        <v>563</v>
      </c>
      <c r="B1" s="35"/>
      <c r="C1" s="35"/>
      <c r="D1" s="35"/>
      <c r="E1" s="35"/>
      <c r="F1" s="271" t="s">
        <v>672</v>
      </c>
      <c r="G1" s="272"/>
      <c r="H1" s="272"/>
      <c r="I1" s="273"/>
      <c r="J1" s="196"/>
    </row>
    <row r="2" spans="1:17" ht="21.75" customHeight="1" thickBot="1" x14ac:dyDescent="0.3">
      <c r="A2" s="35" t="s">
        <v>564</v>
      </c>
      <c r="B2" s="35"/>
      <c r="C2" s="35"/>
      <c r="D2" s="35"/>
      <c r="E2" s="35"/>
      <c r="F2" s="274"/>
      <c r="G2" s="275"/>
      <c r="H2" s="275"/>
      <c r="I2" s="276"/>
      <c r="J2" s="196"/>
    </row>
    <row r="3" spans="1:17" x14ac:dyDescent="0.25">
      <c r="A3" s="35" t="str">
        <f>+'GF - PD'!A3</f>
        <v>FISCAL YEAR 2023-2024</v>
      </c>
      <c r="B3" s="35"/>
      <c r="C3" s="35"/>
      <c r="D3" s="35"/>
      <c r="E3" s="35"/>
      <c r="F3" s="35"/>
      <c r="G3" s="35"/>
    </row>
    <row r="5" spans="1:17" ht="47.25" customHeight="1" thickBot="1" x14ac:dyDescent="0.3">
      <c r="A5" s="79" t="s">
        <v>701</v>
      </c>
      <c r="B5" s="36" t="s">
        <v>1</v>
      </c>
      <c r="C5" s="36" t="s">
        <v>2</v>
      </c>
      <c r="D5" s="165" t="str">
        <f>+'GF - PD'!E5</f>
        <v>2018-19 ACTUAL</v>
      </c>
      <c r="E5" s="120" t="s">
        <v>568</v>
      </c>
      <c r="F5" s="121" t="s">
        <v>569</v>
      </c>
      <c r="G5" s="120" t="s">
        <v>570</v>
      </c>
      <c r="H5" s="122" t="s">
        <v>667</v>
      </c>
      <c r="I5" s="120" t="s">
        <v>669</v>
      </c>
      <c r="J5" s="197" t="s">
        <v>671</v>
      </c>
      <c r="K5" s="42"/>
      <c r="L5" s="120" t="s">
        <v>703</v>
      </c>
      <c r="M5" s="37" t="s">
        <v>687</v>
      </c>
      <c r="N5" s="227" t="s">
        <v>685</v>
      </c>
    </row>
    <row r="6" spans="1:17" hidden="1" x14ac:dyDescent="0.25">
      <c r="A6" s="33"/>
      <c r="B6" s="33"/>
      <c r="C6" s="33"/>
      <c r="D6" s="57"/>
      <c r="E6" s="33"/>
      <c r="F6" s="57"/>
      <c r="G6" s="33"/>
      <c r="H6" s="71"/>
      <c r="J6" s="198"/>
      <c r="K6" s="42"/>
    </row>
    <row r="7" spans="1:17" hidden="1" x14ac:dyDescent="0.25">
      <c r="A7" s="39" t="s">
        <v>34</v>
      </c>
      <c r="B7" s="33"/>
      <c r="C7" s="33"/>
      <c r="D7" s="57"/>
      <c r="E7" s="33"/>
      <c r="F7" s="57"/>
      <c r="G7" s="33"/>
      <c r="H7" s="71"/>
      <c r="J7" s="198"/>
      <c r="K7" s="42"/>
    </row>
    <row r="8" spans="1:17" hidden="1" x14ac:dyDescent="0.25">
      <c r="A8" s="33"/>
      <c r="B8" s="33"/>
      <c r="C8" s="33"/>
      <c r="D8" s="57"/>
      <c r="E8" s="33"/>
      <c r="F8" s="57"/>
      <c r="G8" s="33"/>
      <c r="H8" s="71"/>
      <c r="J8" s="198"/>
      <c r="K8" s="42"/>
    </row>
    <row r="9" spans="1:17" x14ac:dyDescent="0.25">
      <c r="A9" s="89" t="s">
        <v>35</v>
      </c>
      <c r="B9" s="33"/>
      <c r="C9" s="33"/>
      <c r="D9" s="57"/>
      <c r="E9" s="33"/>
      <c r="F9" s="57"/>
      <c r="G9" s="33"/>
      <c r="H9" s="71"/>
      <c r="J9" s="198"/>
      <c r="K9" s="42"/>
    </row>
    <row r="10" spans="1:17" x14ac:dyDescent="0.25">
      <c r="A10" s="33" t="s">
        <v>418</v>
      </c>
      <c r="B10" s="91">
        <f>'UF - REVENUE'!C18</f>
        <v>546089</v>
      </c>
      <c r="C10" s="90">
        <f>'UF - REVENUE'!D18</f>
        <v>544325</v>
      </c>
      <c r="D10" s="135">
        <f>+'UF - REVENUE'!E18</f>
        <v>514601</v>
      </c>
      <c r="E10" s="90">
        <v>535994</v>
      </c>
      <c r="F10" s="135">
        <v>563386.27</v>
      </c>
      <c r="G10" s="90">
        <v>535994</v>
      </c>
      <c r="H10" s="137">
        <f>'UF - REVENUE'!I18</f>
        <v>573419.5</v>
      </c>
      <c r="I10" s="90">
        <f>'UF - REVENUE'!J18</f>
        <v>610994</v>
      </c>
      <c r="J10" s="199">
        <f>'UF - REVENUE'!K18</f>
        <v>358829</v>
      </c>
      <c r="K10" s="42"/>
      <c r="L10" s="265">
        <v>610994</v>
      </c>
      <c r="M10" s="222">
        <f>'UF - REVENUE'!N18</f>
        <v>0</v>
      </c>
      <c r="N10" s="222">
        <f>'UF - REVENUE'!O18</f>
        <v>548058</v>
      </c>
      <c r="O10" s="33"/>
    </row>
    <row r="11" spans="1:17" x14ac:dyDescent="0.25">
      <c r="A11" s="33" t="s">
        <v>419</v>
      </c>
      <c r="B11" s="91">
        <f>'UF - REVENUE'!C22</f>
        <v>261462</v>
      </c>
      <c r="C11" s="90">
        <f>'UF - REVENUE'!D22</f>
        <v>293000</v>
      </c>
      <c r="D11" s="135">
        <f>+'UF - REVENUE'!E22</f>
        <v>282977</v>
      </c>
      <c r="E11" s="90">
        <v>303255</v>
      </c>
      <c r="F11" s="135">
        <v>275781.59999999998</v>
      </c>
      <c r="G11" s="90">
        <v>303255</v>
      </c>
      <c r="H11" s="137">
        <f>'UF - REVENUE'!I22</f>
        <v>311257</v>
      </c>
      <c r="I11" s="90">
        <f>'UF - REVENUE'!J22</f>
        <v>303255</v>
      </c>
      <c r="J11" s="199">
        <f>'UF - REVENUE'!K22</f>
        <v>154329</v>
      </c>
      <c r="K11" s="42"/>
      <c r="L11" s="222">
        <f>'UF - REVENUE'!M22</f>
        <v>312353</v>
      </c>
      <c r="M11" s="222">
        <f>'UF - REVENUE'!N22</f>
        <v>0</v>
      </c>
      <c r="N11" s="222">
        <f>'UF - REVENUE'!O21</f>
        <v>312353</v>
      </c>
    </row>
    <row r="12" spans="1:17" x14ac:dyDescent="0.25">
      <c r="A12" s="33" t="s">
        <v>420</v>
      </c>
      <c r="B12" s="91">
        <f>'UF - REVENUE'!C26</f>
        <v>126836</v>
      </c>
      <c r="C12" s="90">
        <f>'UF - REVENUE'!D26</f>
        <v>152000</v>
      </c>
      <c r="D12" s="135">
        <f>+'UF - REVENUE'!E26</f>
        <v>127546</v>
      </c>
      <c r="E12" s="90">
        <v>127200</v>
      </c>
      <c r="F12" s="135">
        <v>128015.66</v>
      </c>
      <c r="G12" s="90">
        <v>127200</v>
      </c>
      <c r="H12" s="137">
        <f>'UF - REVENUE'!I26</f>
        <v>169269</v>
      </c>
      <c r="I12" s="90">
        <f>'UF - REVENUE'!J26</f>
        <v>216211.20000000001</v>
      </c>
      <c r="J12" s="199">
        <f>'UF - REVENUE'!K26</f>
        <v>113418</v>
      </c>
      <c r="K12" s="42"/>
      <c r="L12" s="222">
        <v>216211</v>
      </c>
      <c r="M12" s="222">
        <f>'UF - REVENUE'!N26</f>
        <v>0</v>
      </c>
      <c r="N12" s="222">
        <f>'UF - REVENUE'!O25</f>
        <v>190124</v>
      </c>
    </row>
    <row r="13" spans="1:17" ht="16.5" thickBot="1" x14ac:dyDescent="0.3">
      <c r="A13" s="33" t="s">
        <v>42</v>
      </c>
      <c r="B13" s="94">
        <f>'UF - REVENUE'!C36</f>
        <v>17345</v>
      </c>
      <c r="C13" s="123">
        <f>'UF - REVENUE'!D36</f>
        <v>21868</v>
      </c>
      <c r="D13" s="142">
        <f>+'UF - REVENUE'!E36</f>
        <v>46720.99</v>
      </c>
      <c r="E13" s="123">
        <v>1000</v>
      </c>
      <c r="F13" s="142">
        <v>21956.66</v>
      </c>
      <c r="G13" s="123">
        <v>1800</v>
      </c>
      <c r="H13" s="144">
        <f>'UF - REVENUE'!I36</f>
        <v>19212.559999999998</v>
      </c>
      <c r="I13" s="123">
        <f>'UF - REVENUE'!J36</f>
        <v>23050</v>
      </c>
      <c r="J13" s="200">
        <f>'UF - REVENUE'!K36</f>
        <v>14085</v>
      </c>
      <c r="K13" s="42"/>
      <c r="L13" s="223">
        <f>'UF - REVENUE'!M36</f>
        <v>3141.5</v>
      </c>
      <c r="M13" s="223">
        <f>'UF - REVENUE'!N36</f>
        <v>0</v>
      </c>
      <c r="N13" s="223">
        <f>'UF - REVENUE'!O36</f>
        <v>3141.5</v>
      </c>
    </row>
    <row r="14" spans="1:17" ht="16.5" hidden="1" thickBot="1" x14ac:dyDescent="0.3">
      <c r="A14" s="166" t="s">
        <v>374</v>
      </c>
      <c r="B14" s="167">
        <v>0</v>
      </c>
      <c r="C14" s="133">
        <v>0</v>
      </c>
      <c r="D14" s="142"/>
      <c r="E14" s="133">
        <v>0</v>
      </c>
      <c r="F14" s="142"/>
      <c r="G14" s="133">
        <v>0</v>
      </c>
      <c r="H14" s="144">
        <f>'UF - REVENUE'!I30</f>
        <v>0</v>
      </c>
      <c r="I14" s="133">
        <f>'UF - REVENUE'!J30</f>
        <v>0</v>
      </c>
      <c r="J14" s="200">
        <f>'UF - REVENUE'!M30</f>
        <v>0</v>
      </c>
      <c r="K14" s="42"/>
      <c r="L14" s="223">
        <f>'UF - REVENUE'!O30</f>
        <v>10000</v>
      </c>
      <c r="M14" s="222"/>
      <c r="N14" s="222"/>
    </row>
    <row r="15" spans="1:17" x14ac:dyDescent="0.25">
      <c r="A15" s="153" t="s">
        <v>43</v>
      </c>
      <c r="B15" s="107">
        <f>SUM(B10:B13)</f>
        <v>951732</v>
      </c>
      <c r="C15" s="107">
        <f t="shared" ref="C15" si="0">SUM(C10:C13)</f>
        <v>1011193</v>
      </c>
      <c r="D15" s="55">
        <f>SUM(D10:D13)</f>
        <v>971844.99</v>
      </c>
      <c r="E15" s="107">
        <v>967449</v>
      </c>
      <c r="F15" s="55">
        <v>989140.19000000006</v>
      </c>
      <c r="G15" s="107">
        <v>968249</v>
      </c>
      <c r="H15" s="56">
        <f t="shared" ref="H15" si="1">SUM(H10:H14)</f>
        <v>1073158.06</v>
      </c>
      <c r="I15" s="107">
        <f t="shared" ref="I15" si="2">SUM(I10:I14)</f>
        <v>1153510.2</v>
      </c>
      <c r="J15" s="202">
        <f t="shared" ref="J15:L15" si="3">SUM(J10:J14)</f>
        <v>640661</v>
      </c>
      <c r="K15" s="42"/>
      <c r="L15" s="225">
        <f t="shared" si="3"/>
        <v>1152699.5</v>
      </c>
      <c r="M15" s="225">
        <f>SUM(M10:M14)</f>
        <v>0</v>
      </c>
      <c r="N15" s="225">
        <f>SUM(N10:N13)</f>
        <v>1053676.5</v>
      </c>
    </row>
    <row r="16" spans="1:17" x14ac:dyDescent="0.25">
      <c r="A16" s="33"/>
      <c r="B16" s="33"/>
      <c r="C16" s="90"/>
      <c r="D16" s="135"/>
      <c r="E16" s="90"/>
      <c r="F16" s="135"/>
      <c r="G16" s="90"/>
      <c r="H16" s="137"/>
      <c r="I16" s="90"/>
      <c r="J16" s="199"/>
      <c r="K16" s="42"/>
      <c r="Q16" s="195"/>
    </row>
    <row r="17" spans="1:14" x14ac:dyDescent="0.25">
      <c r="A17" s="89" t="s">
        <v>44</v>
      </c>
      <c r="B17" s="33"/>
      <c r="C17" s="90"/>
      <c r="D17" s="135"/>
      <c r="E17" s="90"/>
      <c r="F17" s="135"/>
      <c r="G17" s="90"/>
      <c r="H17" s="137"/>
      <c r="I17" s="90"/>
      <c r="J17" s="199"/>
      <c r="K17" s="42"/>
    </row>
    <row r="18" spans="1:14" x14ac:dyDescent="0.25">
      <c r="A18" s="33"/>
      <c r="B18" s="33"/>
      <c r="C18" s="90"/>
      <c r="D18" s="135"/>
      <c r="E18" s="90"/>
      <c r="F18" s="135"/>
      <c r="G18" s="90"/>
      <c r="H18" s="137"/>
      <c r="I18" s="90"/>
      <c r="J18" s="199"/>
      <c r="K18" s="42"/>
    </row>
    <row r="19" spans="1:14" ht="20.25" customHeight="1" x14ac:dyDescent="0.25">
      <c r="A19" s="89" t="s">
        <v>421</v>
      </c>
      <c r="B19" s="33"/>
      <c r="C19" s="90"/>
      <c r="D19" s="135"/>
      <c r="E19" s="90"/>
      <c r="F19" s="135"/>
      <c r="G19" s="90"/>
      <c r="H19" s="137"/>
      <c r="I19" s="90"/>
      <c r="J19" s="199"/>
      <c r="K19" s="42"/>
    </row>
    <row r="20" spans="1:14" x14ac:dyDescent="0.25">
      <c r="A20" s="33" t="s">
        <v>422</v>
      </c>
      <c r="B20" s="91">
        <f>+'UF - ADMIN'!D51</f>
        <v>96325</v>
      </c>
      <c r="C20" s="90">
        <v>0</v>
      </c>
      <c r="D20" s="135">
        <f>+'UF - ADMIN'!E51</f>
        <v>179325.45999999996</v>
      </c>
      <c r="E20" s="90">
        <v>0</v>
      </c>
      <c r="F20" s="135">
        <v>258653.07</v>
      </c>
      <c r="G20" s="90">
        <v>176164</v>
      </c>
      <c r="H20" s="137">
        <f>+'UF - ADMIN'!I51</f>
        <v>130033.48</v>
      </c>
      <c r="I20" s="90">
        <f>+'UF - ADMIN'!J51</f>
        <v>223710.62</v>
      </c>
      <c r="J20" s="199">
        <f>+'UF - ADMIN'!K51</f>
        <v>223710.62</v>
      </c>
      <c r="K20" s="42"/>
      <c r="L20" s="222">
        <f>+'UF - ADMIN'!M51</f>
        <v>210641.93859999999</v>
      </c>
      <c r="M20" s="222">
        <f>'UF - ADMIN'!N38</f>
        <v>0</v>
      </c>
      <c r="N20" s="222">
        <f>'UF - ADMIN'!O51</f>
        <v>225491.93859999999</v>
      </c>
    </row>
    <row r="21" spans="1:14" ht="16.5" thickBot="1" x14ac:dyDescent="0.3">
      <c r="A21" s="33" t="s">
        <v>423</v>
      </c>
      <c r="B21" s="94">
        <f>'UF - OPERATIONS'!C84</f>
        <v>753473.13</v>
      </c>
      <c r="C21" s="90">
        <v>975221</v>
      </c>
      <c r="D21" s="135">
        <f>+'UF - OPERATIONS'!E84</f>
        <v>190792.87</v>
      </c>
      <c r="E21" s="90">
        <v>1023101</v>
      </c>
      <c r="F21" s="135">
        <v>762379.64999999991</v>
      </c>
      <c r="G21" s="90">
        <v>746261.85990000004</v>
      </c>
      <c r="H21" s="137">
        <f>'UF - OPERATIONS'!I84</f>
        <v>664270.76000000013</v>
      </c>
      <c r="I21" s="90">
        <f>'UF - OPERATIONS'!J84</f>
        <v>918088</v>
      </c>
      <c r="J21" s="199">
        <f>'UF - OPERATIONS'!K84</f>
        <v>918088</v>
      </c>
      <c r="K21" s="42"/>
      <c r="L21" s="222">
        <f>'UF - OPERATIONS'!M84</f>
        <v>1056233.95</v>
      </c>
      <c r="M21" s="222">
        <f>'UF - OPERATIONS'!N84</f>
        <v>0</v>
      </c>
      <c r="N21" s="222">
        <f>'UF - OPERATIONS'!O84</f>
        <v>1022952.35</v>
      </c>
    </row>
    <row r="22" spans="1:14" ht="16.5" thickBot="1" x14ac:dyDescent="0.3">
      <c r="A22" s="33" t="s">
        <v>424</v>
      </c>
      <c r="B22" s="91"/>
      <c r="C22" s="123">
        <v>0</v>
      </c>
      <c r="D22" s="142">
        <v>0</v>
      </c>
      <c r="E22" s="123">
        <v>0</v>
      </c>
      <c r="F22" s="142">
        <v>0</v>
      </c>
      <c r="G22" s="123">
        <v>53515.979999999996</v>
      </c>
      <c r="H22" s="144">
        <f>+'UF-UTILITY CLERK'!G34</f>
        <v>28598.689999999995</v>
      </c>
      <c r="I22" s="123">
        <f>+'UF-UTILITY CLERK'!H34</f>
        <v>62162</v>
      </c>
      <c r="J22" s="200">
        <f>+'UF-UTILITY CLERK'!I34</f>
        <v>62162</v>
      </c>
      <c r="K22" s="42"/>
      <c r="L22" s="223">
        <f>+'UF-UTILITY CLERK'!K34</f>
        <v>66187.56</v>
      </c>
      <c r="M22" s="223">
        <f>'UF-UTILITY CLERK'!L34</f>
        <v>0</v>
      </c>
      <c r="N22" s="223">
        <f>'UF-UTILITY CLERK'!M34</f>
        <v>66438.708100000003</v>
      </c>
    </row>
    <row r="23" spans="1:14" x14ac:dyDescent="0.25">
      <c r="A23" s="153" t="s">
        <v>425</v>
      </c>
      <c r="B23" s="107">
        <f>SUM(B20:B21)</f>
        <v>849798.13</v>
      </c>
      <c r="C23" s="107">
        <f>SUM(C20:C22)</f>
        <v>975221</v>
      </c>
      <c r="D23" s="55">
        <f>SUM(D20:D22)</f>
        <v>370118.32999999996</v>
      </c>
      <c r="E23" s="107">
        <v>1023101</v>
      </c>
      <c r="F23" s="55">
        <v>1021032.72</v>
      </c>
      <c r="G23" s="107">
        <v>975941.83990000002</v>
      </c>
      <c r="H23" s="56">
        <f t="shared" ref="H23" si="4">SUM(H20:H22)</f>
        <v>822902.93</v>
      </c>
      <c r="I23" s="107">
        <f t="shared" ref="I23" si="5">SUM(I20:I22)</f>
        <v>1203960.6200000001</v>
      </c>
      <c r="J23" s="202">
        <f t="shared" ref="J23:L23" si="6">SUM(J20:J22)</f>
        <v>1203960.6200000001</v>
      </c>
      <c r="K23" s="42"/>
      <c r="L23" s="225">
        <f t="shared" si="6"/>
        <v>1333063.4486</v>
      </c>
      <c r="M23" s="225">
        <f>SUM(M20:M22)</f>
        <v>0</v>
      </c>
      <c r="N23" s="225">
        <f>SUM(N20:N22)</f>
        <v>1314882.9967</v>
      </c>
    </row>
    <row r="24" spans="1:14" x14ac:dyDescent="0.25">
      <c r="A24" s="33"/>
      <c r="B24" s="33"/>
      <c r="C24" s="90"/>
      <c r="D24" s="135"/>
      <c r="E24" s="90"/>
      <c r="F24" s="135"/>
      <c r="G24" s="90"/>
      <c r="H24" s="137"/>
      <c r="I24" s="90"/>
      <c r="J24" s="199"/>
      <c r="K24" s="42"/>
      <c r="L24" s="222"/>
      <c r="M24" s="222"/>
      <c r="N24" s="222"/>
    </row>
    <row r="25" spans="1:14" x14ac:dyDescent="0.25">
      <c r="A25" s="53" t="s">
        <v>62</v>
      </c>
      <c r="B25" s="54">
        <f>B15-B23</f>
        <v>101933.87</v>
      </c>
      <c r="C25" s="54">
        <f t="shared" ref="C25:D25" si="7">C15-C23</f>
        <v>35972</v>
      </c>
      <c r="D25" s="55">
        <f t="shared" si="7"/>
        <v>601726.66</v>
      </c>
      <c r="E25" s="75">
        <v>-55652</v>
      </c>
      <c r="F25" s="76">
        <v>-31892.529999999912</v>
      </c>
      <c r="G25" s="75">
        <v>-7692.8399000000209</v>
      </c>
      <c r="H25" s="77">
        <f t="shared" ref="H25" si="8">H15-H23</f>
        <v>250255.13</v>
      </c>
      <c r="I25" s="75">
        <f t="shared" ref="I25" si="9">I15-I23</f>
        <v>-50450.420000000158</v>
      </c>
      <c r="J25" s="203">
        <f t="shared" ref="J25:N25" si="10">J15-J23</f>
        <v>-563299.62000000011</v>
      </c>
      <c r="K25" s="42"/>
      <c r="L25" s="266">
        <f t="shared" si="10"/>
        <v>-180363.9486</v>
      </c>
      <c r="M25" s="266">
        <f t="shared" si="10"/>
        <v>0</v>
      </c>
      <c r="N25" s="266">
        <f t="shared" si="10"/>
        <v>-261206.49670000002</v>
      </c>
    </row>
    <row r="26" spans="1:14" hidden="1" x14ac:dyDescent="0.25">
      <c r="A26" s="35" t="s">
        <v>63</v>
      </c>
      <c r="B26" s="54">
        <v>0</v>
      </c>
      <c r="C26" s="54">
        <v>0</v>
      </c>
      <c r="D26" s="54"/>
      <c r="E26" s="168">
        <v>55652</v>
      </c>
      <c r="F26" s="168"/>
      <c r="G26" s="168">
        <f>-G25</f>
        <v>7692.8399000000209</v>
      </c>
    </row>
    <row r="27" spans="1:14" hidden="1" x14ac:dyDescent="0.25">
      <c r="A27" s="35" t="s">
        <v>64</v>
      </c>
      <c r="B27" s="54">
        <v>371379.01</v>
      </c>
      <c r="C27" s="54">
        <v>486547</v>
      </c>
      <c r="D27" s="54"/>
      <c r="E27" s="54">
        <f>+B28</f>
        <v>486547</v>
      </c>
      <c r="F27" s="54"/>
      <c r="G27" s="54">
        <f>+E28</f>
        <v>430895</v>
      </c>
    </row>
    <row r="28" spans="1:14" hidden="1" x14ac:dyDescent="0.25">
      <c r="A28" s="35" t="s">
        <v>65</v>
      </c>
      <c r="B28" s="54">
        <v>486547</v>
      </c>
      <c r="C28" s="54">
        <v>525547</v>
      </c>
      <c r="D28" s="54"/>
      <c r="E28" s="54">
        <f>E27+E25</f>
        <v>430895</v>
      </c>
      <c r="F28" s="54"/>
      <c r="G28" s="54" t="e">
        <f>#REF!+#REF!</f>
        <v>#REF!</v>
      </c>
    </row>
    <row r="29" spans="1:14" x14ac:dyDescent="0.25">
      <c r="B29" s="69"/>
      <c r="C29" s="69"/>
      <c r="D29" s="69"/>
      <c r="E29" s="69"/>
      <c r="F29" s="69"/>
      <c r="G29" s="69"/>
    </row>
  </sheetData>
  <mergeCells count="1">
    <mergeCell ref="F1:I2"/>
  </mergeCells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3" zoomScaleNormal="100" workbookViewId="0">
      <selection activeCell="G25" sqref="G25"/>
    </sheetView>
  </sheetViews>
  <sheetFormatPr defaultColWidth="9.140625" defaultRowHeight="15" x14ac:dyDescent="0.25"/>
  <cols>
    <col min="1" max="1" width="40.85546875" bestFit="1" customWidth="1"/>
    <col min="2" max="2" width="12.5703125" hidden="1" customWidth="1"/>
    <col min="3" max="3" width="13.140625" customWidth="1"/>
    <col min="4" max="4" width="12.7109375" bestFit="1" customWidth="1"/>
    <col min="5" max="5" width="13.42578125" customWidth="1"/>
    <col min="6" max="6" width="14.42578125" hidden="1" customWidth="1"/>
    <col min="7" max="7" width="13.42578125" customWidth="1"/>
    <col min="8" max="8" width="12.5703125" customWidth="1"/>
    <col min="10" max="10" width="29.28515625" customWidth="1"/>
    <col min="11" max="11" width="12.28515625" customWidth="1"/>
    <col min="12" max="13" width="12.42578125" customWidth="1"/>
    <col min="14" max="14" width="18.42578125" customWidth="1"/>
    <col min="15" max="15" width="10.5703125" customWidth="1"/>
  </cols>
  <sheetData>
    <row r="1" spans="1:11" hidden="1" x14ac:dyDescent="0.25"/>
    <row r="2" spans="1:11" hidden="1" x14ac:dyDescent="0.25"/>
    <row r="3" spans="1:11" ht="36" customHeight="1" thickBot="1" x14ac:dyDescent="0.3">
      <c r="A3" s="21" t="s">
        <v>20</v>
      </c>
      <c r="B3" s="9" t="s">
        <v>1</v>
      </c>
      <c r="C3" s="9" t="s">
        <v>2</v>
      </c>
      <c r="D3" s="9" t="s">
        <v>21</v>
      </c>
      <c r="E3" s="9" t="s">
        <v>22</v>
      </c>
      <c r="F3" s="21" t="s">
        <v>23</v>
      </c>
      <c r="G3" s="9" t="s">
        <v>4</v>
      </c>
    </row>
    <row r="4" spans="1:11" x14ac:dyDescent="0.25">
      <c r="A4" s="1" t="s">
        <v>24</v>
      </c>
      <c r="B4" s="5">
        <f>'GF - REVENUE'!C115</f>
        <v>812793.03</v>
      </c>
      <c r="C4" s="5">
        <f>'GF - REVENUE'!D115</f>
        <v>532668</v>
      </c>
      <c r="D4" s="5">
        <v>726398</v>
      </c>
      <c r="E4" s="5">
        <f>'GF - REVENUE'!F115</f>
        <v>636398</v>
      </c>
      <c r="F4" s="18">
        <f>E4-D4</f>
        <v>-90000</v>
      </c>
      <c r="G4" s="5">
        <f>'GF - REVENUE'!H115</f>
        <v>672111</v>
      </c>
    </row>
    <row r="5" spans="1:11" ht="15.75" thickBot="1" x14ac:dyDescent="0.3">
      <c r="A5" s="8" t="s">
        <v>25</v>
      </c>
      <c r="B5" s="6">
        <f>'UF - REVENUE'!C38</f>
        <v>951732</v>
      </c>
      <c r="C5" s="6">
        <f>'UF - REVENUE'!D38</f>
        <v>1011193</v>
      </c>
      <c r="D5" s="6">
        <v>977449</v>
      </c>
      <c r="E5" s="6">
        <f>'UF - REVENUE'!F38</f>
        <v>967449</v>
      </c>
      <c r="F5" s="20">
        <f>E5-D5</f>
        <v>-10000</v>
      </c>
      <c r="G5" s="6">
        <f>+'UF - REVENUE'!H38</f>
        <v>968249</v>
      </c>
    </row>
    <row r="6" spans="1:11" x14ac:dyDescent="0.25">
      <c r="A6" s="22" t="s">
        <v>7</v>
      </c>
      <c r="B6" s="12">
        <f>SUM(B4:B5)</f>
        <v>1764525.03</v>
      </c>
      <c r="C6" s="12">
        <f>SUM(C4:C5)</f>
        <v>1543861</v>
      </c>
      <c r="D6" s="12">
        <f>SUM(D4:D5)</f>
        <v>1703847</v>
      </c>
      <c r="E6" s="12">
        <f>SUM(E4:E5)</f>
        <v>1603847</v>
      </c>
      <c r="F6" s="19">
        <f>E6-D6</f>
        <v>-100000</v>
      </c>
      <c r="G6" s="12">
        <f>SUM(G4:G5)</f>
        <v>1640360</v>
      </c>
    </row>
    <row r="7" spans="1:11" x14ac:dyDescent="0.25">
      <c r="A7" s="1"/>
      <c r="B7" s="1"/>
      <c r="C7" s="1"/>
      <c r="D7" s="1"/>
      <c r="E7" s="1"/>
      <c r="F7" s="1"/>
      <c r="G7" s="1"/>
      <c r="H7" s="1"/>
    </row>
    <row r="8" spans="1:11" ht="37.9" customHeight="1" thickBot="1" x14ac:dyDescent="0.3">
      <c r="A8" s="21" t="s">
        <v>26</v>
      </c>
      <c r="B8" s="9" t="s">
        <v>1</v>
      </c>
      <c r="C8" s="9" t="s">
        <v>2</v>
      </c>
      <c r="D8" s="9" t="s">
        <v>21</v>
      </c>
      <c r="E8" s="9" t="s">
        <v>27</v>
      </c>
      <c r="F8" s="9" t="s">
        <v>23</v>
      </c>
      <c r="G8" s="9" t="str">
        <f>+G3</f>
        <v>2020-21 BUDGET</v>
      </c>
    </row>
    <row r="9" spans="1:11" x14ac:dyDescent="0.25">
      <c r="A9" s="15" t="s">
        <v>9</v>
      </c>
      <c r="B9" s="16">
        <f>'GF - SECRETARY'!C18+'GF - COURT'!C20+'GF - PERMITTING'!C19+'GF - DS'!C21+'GF - PD'!C21+'UF - OPERATIONS'!C22</f>
        <v>639165.30374999996</v>
      </c>
      <c r="C9" s="16">
        <f>'GF - SECRETARY'!D18+'GF - COURT'!D20+'GF - PERMITTING'!D19+'GF - DS'!D21+'GF - PD'!D21+'UF - OPERATIONS'!D22</f>
        <v>685458.48</v>
      </c>
      <c r="D9" s="16">
        <v>656116</v>
      </c>
      <c r="E9" s="16">
        <f>'GF - SECRETARY'!F18+'GF - COURT'!F20+'GF - PERMITTING'!F19+'GF - DS'!F21+'GF - PD'!F21+'UF - OPERATIONS'!F22</f>
        <v>666396.83199999994</v>
      </c>
      <c r="G9" s="16">
        <f>'GF - SECRETARY'!I18+'GF - COURT'!G20+'GF - PERMITTING'!G19+'GF - DS'!G21+'GF - PD'!G21+'UF - OPERATIONS'!H22</f>
        <v>526391.00989999995</v>
      </c>
    </row>
    <row r="10" spans="1:11" x14ac:dyDescent="0.25">
      <c r="A10" s="15" t="s">
        <v>10</v>
      </c>
      <c r="B10" s="17">
        <f>'GF - SECRETARY'!C23+'GF - COURT'!C25+'GF - PERMITTING'!C23+'GF - LEGAL'!C12+'GF -ENGINEERING'!C8+'GF - GCAD'!C8+'GF - GCTA'!C8+'GF - AUDITOR'!C8+'UF - OPERATIONS'!C32</f>
        <v>125939.28</v>
      </c>
      <c r="C10" s="17">
        <f>'GF - SECRETARY'!D23+'GF - COURT'!D25+'GF - PERMITTING'!D23+'GF - LEGAL'!D12+'GF -ENGINEERING'!D8+'GF - GCAD'!D8+'GF - GCTA'!D8+'GF - AUDITOR'!D8+'UF - OPERATIONS'!D32</f>
        <v>129925</v>
      </c>
      <c r="D10" s="17">
        <v>173634</v>
      </c>
      <c r="E10" s="17">
        <f>'GF - SECRETARY'!F23+'GF - COURT'!F25+'GF - PERMITTING'!F23+'GF - LEGAL'!E12+'GF -ENGINEERING'!E8+'GF - GCAD'!E8+'GF - GCTA'!E8+'GF - AUDITOR'!E8+'UF - OPERATIONS'!F32</f>
        <v>120800</v>
      </c>
      <c r="F10" s="18">
        <f>E10-D10</f>
        <v>-52834</v>
      </c>
      <c r="G10" s="17">
        <f>'GF - SECRETARY'!I23+'GF - COURT'!G25+'GF - PERMITTING'!G23+'UF - OPERATIONS'!H32</f>
        <v>103122.18</v>
      </c>
    </row>
    <row r="11" spans="1:11" x14ac:dyDescent="0.25">
      <c r="A11" s="15" t="s">
        <v>11</v>
      </c>
      <c r="B11" s="17">
        <f>'GF - MCLA'!C8+'GF - MVFD'!C12+'GF - EMS'!C12+'UF - OPERATIONS'!C41</f>
        <v>414481.86</v>
      </c>
      <c r="C11" s="17">
        <f>'GF - MCLA'!D8+'GF - MVFD'!D12+'GF - EMS'!D12+'UF - OPERATIONS'!D41</f>
        <v>444420</v>
      </c>
      <c r="D11" s="17">
        <v>490335</v>
      </c>
      <c r="E11" s="17">
        <f>'GF - MCLA'!E8+'GF - MVFD'!E12+'GF - EMS'!E12+'UF - OPERATIONS'!F41+'GF - DS'!F37</f>
        <v>492834.63</v>
      </c>
      <c r="F11" s="18">
        <f>E11-D11</f>
        <v>2499.6300000000047</v>
      </c>
      <c r="G11" s="17">
        <f>'UF - OPERATIONS'!H41+'GF - DS'!G37</f>
        <v>442172.35</v>
      </c>
    </row>
    <row r="12" spans="1:11" ht="31.9" customHeight="1" x14ac:dyDescent="0.25">
      <c r="A12" s="15" t="s">
        <v>12</v>
      </c>
      <c r="B12" s="17">
        <f>'GF - SECRETARY'!C32+'GF - COURT'!C35+'GF - PERMITTING'!C32+'GF - DS'!C32+'GF - PD'!C34+'GF - LEGAL'!C8+'GF - MVFD'!C8+'GF - EMS'!C8+'UF - OPERATIONS'!C57</f>
        <v>171294.34</v>
      </c>
      <c r="C12" s="17">
        <f>'GF - SECRETARY'!D32+'GF - COURT'!D35+'GF - PERMITTING'!D32+'GF - DS'!D32+'GF - PD'!D34+'GF - LEGAL'!D8+'GF - MVFD'!D8+'GF - EMS'!D8+'UF - OPERATIONS'!D57</f>
        <v>180750</v>
      </c>
      <c r="D12" s="17">
        <v>254730</v>
      </c>
      <c r="E12" s="17">
        <f>'GF - SECRETARY'!F32+'GF - COURT'!F35+'GF - PERMITTING'!F32+'GF - DS'!F32+'GF - PD'!F34+'GF - LEGAL'!E8+'GF - MVFD'!E8+'GF - EMS'!E8+'UF - OPERATIONS'!F57</f>
        <v>233350</v>
      </c>
      <c r="F12" s="5"/>
      <c r="G12" s="17">
        <f>'GF - SECRETARY'!I32+'GF - COURT'!G35+'GF - PERMITTING'!G32+'GF - DS'!G32+'GF - PD'!G34+'UF - OPERATIONS'!H57</f>
        <v>230126.46</v>
      </c>
    </row>
    <row r="13" spans="1:11" ht="21.6" customHeight="1" x14ac:dyDescent="0.25">
      <c r="A13" s="15" t="s">
        <v>13</v>
      </c>
      <c r="B13" s="17">
        <f>'GF - SECRETARY'!C39+'UF - OPERATIONS'!C68</f>
        <v>3752</v>
      </c>
      <c r="C13" s="17">
        <f>'GF - SECRETARY'!D39+'UF - OPERATIONS'!D68</f>
        <v>0</v>
      </c>
      <c r="D13" s="17">
        <v>36000</v>
      </c>
      <c r="E13" s="17">
        <f>'GF - SECRETARY'!F39+'UF - OPERATIONS'!F68</f>
        <v>0</v>
      </c>
      <c r="F13" s="5"/>
      <c r="G13" s="17">
        <f>'GF - SECRETARY'!I39+'UF - OPERATIONS'!H68</f>
        <v>0</v>
      </c>
      <c r="K13" s="1"/>
    </row>
    <row r="14" spans="1:11" ht="31.15" customHeight="1" x14ac:dyDescent="0.25">
      <c r="A14" s="15" t="s">
        <v>14</v>
      </c>
      <c r="B14" s="17">
        <f>'GF - SECRETARY'!C44+'GF - PD'!C39+'UF - OPERATIONS'!C73</f>
        <v>14564</v>
      </c>
      <c r="C14" s="17">
        <f>'GF - SECRETARY'!D44+'GF - PD'!D39+'GF - PD'!D39+'UF - OPERATIONS'!D73</f>
        <v>0</v>
      </c>
      <c r="D14" s="17">
        <v>32111</v>
      </c>
      <c r="E14" s="17">
        <f>'GF - SECRETARY'!F44+'GF - PD'!F39+'UF - OPERATIONS'!F73</f>
        <v>21111</v>
      </c>
      <c r="F14" s="5"/>
      <c r="G14" s="17">
        <f>'GF - SECRETARY'!I44+'GF - PD'!G39+'UF - OPERATIONS'!H73</f>
        <v>8573.73</v>
      </c>
    </row>
    <row r="15" spans="1:11" x14ac:dyDescent="0.25">
      <c r="A15" s="15" t="s">
        <v>15</v>
      </c>
      <c r="B15" s="17">
        <v>8325</v>
      </c>
      <c r="C15" s="17">
        <v>8325</v>
      </c>
      <c r="D15" s="17">
        <v>8325</v>
      </c>
      <c r="E15" s="17">
        <v>8325</v>
      </c>
      <c r="F15" s="5"/>
      <c r="G15" s="17">
        <f>+'UF - OPERATIONS'!H61</f>
        <v>8325</v>
      </c>
    </row>
    <row r="16" spans="1:11" x14ac:dyDescent="0.25">
      <c r="A16" s="15" t="s">
        <v>28</v>
      </c>
      <c r="B16" s="17">
        <v>0</v>
      </c>
      <c r="C16" s="17">
        <v>0</v>
      </c>
      <c r="D16" s="17">
        <v>60000</v>
      </c>
      <c r="E16" s="17">
        <f>'GF - PD'!F52+'UF - OPERATIONS'!F77</f>
        <v>0</v>
      </c>
      <c r="F16" s="5">
        <v>60000</v>
      </c>
      <c r="G16" s="17">
        <f>'GF - PD'!G52+'UF - OPERATIONS'!H77</f>
        <v>0</v>
      </c>
    </row>
    <row r="17" spans="1:8" ht="19.149999999999999" customHeight="1" thickBot="1" x14ac:dyDescent="0.3">
      <c r="A17" s="15" t="s">
        <v>16</v>
      </c>
      <c r="B17" s="23">
        <f>'GF - DS'!C43+'GF - PD'!C48+'UF - OPERATIONS'!C82</f>
        <v>0</v>
      </c>
      <c r="C17" s="23">
        <f>'GF - PD'!D48+'GF - DS'!D43+'UF - OPERATIONS'!D82</f>
        <v>0</v>
      </c>
      <c r="D17" s="23">
        <v>83338</v>
      </c>
      <c r="E17" s="23">
        <f>'GF - DS'!F43+'GF - PD'!F48+'UF - OPERATIONS'!F82</f>
        <v>32647.48</v>
      </c>
      <c r="F17" s="6">
        <f>D17-E17</f>
        <v>50690.520000000004</v>
      </c>
      <c r="G17" s="23">
        <f>'GF - DS'!G43+'GF - PD'!G48+'UF - OPERATIONS'!H82</f>
        <v>55639.360000000001</v>
      </c>
    </row>
    <row r="18" spans="1:8" x14ac:dyDescent="0.25">
      <c r="A18" s="31" t="s">
        <v>7</v>
      </c>
      <c r="B18" s="12">
        <f>SUM(B9:B17)</f>
        <v>1377521.7837500002</v>
      </c>
      <c r="C18" s="12">
        <f>SUM(C9:C17)</f>
        <v>1448878.48</v>
      </c>
      <c r="D18" s="12">
        <f>SUM(D9:D17)</f>
        <v>1794589</v>
      </c>
      <c r="E18" s="12">
        <f>SUM(E9:E17)</f>
        <v>1575464.9419999998</v>
      </c>
      <c r="F18" s="5">
        <f>(F16+F17)-(F10+F11)</f>
        <v>161024.89000000001</v>
      </c>
      <c r="G18" s="12">
        <f>SUM(G9:G17)</f>
        <v>1374350.0898999998</v>
      </c>
    </row>
    <row r="21" spans="1:8" ht="31.15" customHeight="1" thickBot="1" x14ac:dyDescent="0.3">
      <c r="C21" s="9" t="str">
        <f>+C8</f>
        <v>2018-19 BUDGET</v>
      </c>
      <c r="D21" s="9" t="s">
        <v>21</v>
      </c>
      <c r="E21" s="9" t="s">
        <v>22</v>
      </c>
      <c r="F21" s="21" t="s">
        <v>23</v>
      </c>
      <c r="G21" s="9" t="str">
        <f>+G8</f>
        <v>2020-21 BUDGET</v>
      </c>
    </row>
    <row r="22" spans="1:8" x14ac:dyDescent="0.25">
      <c r="A22" s="31" t="s">
        <v>18</v>
      </c>
      <c r="B22" s="31"/>
      <c r="C22" s="5">
        <f>C6</f>
        <v>1543861</v>
      </c>
      <c r="D22" s="5">
        <f>D6</f>
        <v>1703847</v>
      </c>
      <c r="E22" s="5">
        <f>E6</f>
        <v>1603847</v>
      </c>
      <c r="F22" s="5">
        <f>E22-D22</f>
        <v>-100000</v>
      </c>
      <c r="G22" s="5">
        <f>G6</f>
        <v>1640360</v>
      </c>
    </row>
    <row r="23" spans="1:8" ht="15.75" thickBot="1" x14ac:dyDescent="0.3">
      <c r="A23" s="31" t="s">
        <v>19</v>
      </c>
      <c r="B23" s="31"/>
      <c r="C23" s="6">
        <f>C18</f>
        <v>1448878.48</v>
      </c>
      <c r="D23" s="6">
        <f>D18</f>
        <v>1794589</v>
      </c>
      <c r="E23" s="6">
        <f>E18</f>
        <v>1575464.9419999998</v>
      </c>
      <c r="F23" s="20">
        <f>D23-E23</f>
        <v>219124.05800000019</v>
      </c>
      <c r="G23" s="6">
        <f>G18</f>
        <v>1374350.0898999998</v>
      </c>
    </row>
    <row r="24" spans="1:8" x14ac:dyDescent="0.25">
      <c r="A24" s="31" t="s">
        <v>29</v>
      </c>
      <c r="C24" s="27">
        <f>C22-C23</f>
        <v>94982.520000000019</v>
      </c>
      <c r="D24" s="27">
        <f>D22-D23</f>
        <v>-90742</v>
      </c>
      <c r="E24" s="27">
        <f>E22-E23</f>
        <v>28382.058000000194</v>
      </c>
      <c r="F24" s="26"/>
      <c r="G24" s="27">
        <f>G22-G23</f>
        <v>266009.91010000021</v>
      </c>
    </row>
    <row r="25" spans="1:8" ht="28.15" customHeight="1" x14ac:dyDescent="0.25">
      <c r="A25" s="24" t="s">
        <v>30</v>
      </c>
      <c r="B25" s="24"/>
      <c r="C25" s="28">
        <v>4010</v>
      </c>
      <c r="D25" s="28">
        <v>4010</v>
      </c>
      <c r="E25" s="28">
        <f>'GF - SUMMARY'!E43</f>
        <v>552648.95200000005</v>
      </c>
      <c r="F25" s="26"/>
      <c r="G25" s="28">
        <f>'GF - SUMMARY'!H43</f>
        <v>651033.49899999995</v>
      </c>
      <c r="H25" s="2"/>
    </row>
    <row r="26" spans="1:8" ht="30.6" customHeight="1" x14ac:dyDescent="0.25">
      <c r="A26" s="24" t="s">
        <v>31</v>
      </c>
      <c r="B26" s="24"/>
      <c r="C26" s="28">
        <v>-94752</v>
      </c>
      <c r="D26" s="28">
        <v>-94752</v>
      </c>
      <c r="E26" s="28">
        <f>'UF -SUMMARY'!E25</f>
        <v>-55652</v>
      </c>
      <c r="F26" s="29"/>
      <c r="G26" s="28" t="e">
        <f>'UF -SUMMARY'!#REF!</f>
        <v>#REF!</v>
      </c>
      <c r="H26" s="1"/>
    </row>
    <row r="27" spans="1:8" ht="15.75" thickBot="1" x14ac:dyDescent="0.3">
      <c r="A27" s="24" t="s">
        <v>32</v>
      </c>
      <c r="B27" s="31"/>
      <c r="C27" s="25">
        <v>90742</v>
      </c>
      <c r="D27" s="25">
        <v>90742</v>
      </c>
      <c r="E27" s="25">
        <v>85051</v>
      </c>
      <c r="F27" s="26"/>
      <c r="G27" s="25">
        <f>G24</f>
        <v>266009.91010000021</v>
      </c>
      <c r="H27" s="2"/>
    </row>
    <row r="28" spans="1:8" x14ac:dyDescent="0.25">
      <c r="A28" s="31" t="s">
        <v>29</v>
      </c>
      <c r="C28" s="27">
        <f>SUM(C25:C27)</f>
        <v>0</v>
      </c>
      <c r="D28" s="27">
        <f>SUM(D25:D27)</f>
        <v>0</v>
      </c>
      <c r="E28" s="27">
        <f>SUM(E25:E27)</f>
        <v>582047.95200000005</v>
      </c>
      <c r="F28" s="26"/>
      <c r="G28" s="27">
        <v>0</v>
      </c>
      <c r="H28" s="2"/>
    </row>
    <row r="29" spans="1:8" x14ac:dyDescent="0.25">
      <c r="A29" s="1"/>
      <c r="B29" s="1"/>
      <c r="C29" s="5"/>
      <c r="D29" s="1"/>
      <c r="F29" s="2"/>
    </row>
    <row r="30" spans="1:8" x14ac:dyDescent="0.25">
      <c r="E30" s="1"/>
      <c r="G30" s="1"/>
    </row>
  </sheetData>
  <printOptions horizontalCentered="1"/>
  <pageMargins left="0.7" right="0.7" top="0.75" bottom="0.75" header="0.3" footer="0.3"/>
  <pageSetup scale="72" orientation="portrait" horizontalDpi="4294967293" verticalDpi="4294967293" r:id="rId1"/>
  <headerFooter>
    <oddHeader xml:space="preserve">&amp;C&amp;"-,Bold"&amp;14CITY OF MARION
OPERATING BUDGET
FISCAL YEAR 2020-2021
</oddHeader>
    <oddFooter>&amp;L02/28/2020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50"/>
  <sheetViews>
    <sheetView topLeftCell="A2" zoomScaleNormal="100" workbookViewId="0">
      <selection activeCell="U31" sqref="U31"/>
    </sheetView>
  </sheetViews>
  <sheetFormatPr defaultColWidth="9.140625" defaultRowHeight="15.75" x14ac:dyDescent="0.25"/>
  <cols>
    <col min="1" max="1" width="13.140625" style="34" customWidth="1"/>
    <col min="2" max="2" width="24.85546875" style="34" customWidth="1"/>
    <col min="3" max="3" width="11.85546875" style="34" hidden="1" customWidth="1"/>
    <col min="4" max="5" width="12.5703125" style="34" hidden="1" customWidth="1"/>
    <col min="6" max="9" width="12.28515625" style="34" hidden="1" customWidth="1"/>
    <col min="10" max="11" width="14.28515625" style="34" hidden="1" customWidth="1"/>
    <col min="12" max="12" width="3.28515625" style="34" hidden="1" customWidth="1"/>
    <col min="13" max="13" width="15.5703125" style="90" bestFit="1" customWidth="1"/>
    <col min="14" max="14" width="11.5703125" style="34" customWidth="1"/>
    <col min="15" max="15" width="14.5703125" style="34" customWidth="1"/>
    <col min="16" max="16" width="9.140625" style="33"/>
    <col min="17" max="16384" width="9.140625" style="34"/>
  </cols>
  <sheetData>
    <row r="1" spans="1:16" x14ac:dyDescent="0.25">
      <c r="A1" s="32" t="s">
        <v>563</v>
      </c>
      <c r="B1" s="32"/>
      <c r="C1" s="32"/>
      <c r="D1" s="32"/>
      <c r="E1" s="32"/>
      <c r="F1" s="32"/>
      <c r="G1" s="32"/>
      <c r="H1" s="32"/>
      <c r="I1" s="39"/>
    </row>
    <row r="2" spans="1:16" x14ac:dyDescent="0.25">
      <c r="A2" s="32" t="s">
        <v>564</v>
      </c>
      <c r="B2" s="32"/>
      <c r="C2" s="32"/>
      <c r="D2" s="32"/>
      <c r="E2" s="32"/>
      <c r="F2" s="32"/>
      <c r="G2" s="32"/>
      <c r="H2" s="32"/>
      <c r="I2" s="39"/>
    </row>
    <row r="3" spans="1:16" x14ac:dyDescent="0.25">
      <c r="A3" s="32" t="str">
        <f>+'UF -SUMMARY'!A3</f>
        <v>FISCAL YEAR 2023-2024</v>
      </c>
      <c r="B3" s="32"/>
      <c r="C3" s="32"/>
      <c r="D3" s="32"/>
      <c r="E3" s="32"/>
      <c r="F3" s="32"/>
      <c r="G3" s="32"/>
      <c r="H3" s="32"/>
      <c r="I3" s="39"/>
    </row>
    <row r="5" spans="1:16" ht="50.25" customHeight="1" thickBot="1" x14ac:dyDescent="0.3">
      <c r="A5" s="79" t="s">
        <v>697</v>
      </c>
      <c r="B5" s="66"/>
      <c r="C5" s="36" t="s">
        <v>1</v>
      </c>
      <c r="D5" s="36" t="s">
        <v>2</v>
      </c>
      <c r="E5" s="165" t="str">
        <f>+'UF -SUMMARY'!D5</f>
        <v>2018-19 ACTUAL</v>
      </c>
      <c r="F5" s="120" t="str">
        <f>+'GF - SUMMARY'!E5</f>
        <v>FY19-20 BUDGET</v>
      </c>
      <c r="G5" s="121" t="str">
        <f>+'GF - SUMMARY'!G5</f>
        <v>FY19-20 ACTUAL</v>
      </c>
      <c r="H5" s="120" t="str">
        <f>+'GF - SUMMARY'!H5</f>
        <v>FY20-21 BUDGET</v>
      </c>
      <c r="I5" s="122" t="str">
        <f>+'GF - SUMMARY'!I5</f>
        <v>FY20-21 ACTUAL</v>
      </c>
      <c r="J5" s="120" t="s">
        <v>669</v>
      </c>
      <c r="K5" s="197" t="str">
        <f>+'GF - SRO'!J5</f>
        <v>FY 21-22 BUDGET</v>
      </c>
      <c r="L5" s="42"/>
      <c r="M5" s="120" t="s">
        <v>703</v>
      </c>
      <c r="N5" s="37" t="s">
        <v>687</v>
      </c>
      <c r="O5" s="227" t="s">
        <v>685</v>
      </c>
    </row>
    <row r="6" spans="1:16" hidden="1" x14ac:dyDescent="0.25">
      <c r="A6" s="33"/>
      <c r="B6" s="33"/>
      <c r="C6" s="33"/>
      <c r="D6" s="33"/>
      <c r="E6" s="57"/>
      <c r="F6" s="33"/>
      <c r="G6" s="59"/>
      <c r="H6" s="33"/>
      <c r="I6" s="71"/>
      <c r="K6" s="198"/>
      <c r="L6" s="42"/>
      <c r="O6" s="228"/>
    </row>
    <row r="7" spans="1:16" hidden="1" x14ac:dyDescent="0.25">
      <c r="A7" s="39" t="s">
        <v>20</v>
      </c>
      <c r="B7" s="33"/>
      <c r="C7" s="33"/>
      <c r="D7" s="33"/>
      <c r="E7" s="57"/>
      <c r="F7" s="33"/>
      <c r="G7" s="59"/>
      <c r="H7" s="33"/>
      <c r="I7" s="71"/>
      <c r="K7" s="198"/>
      <c r="L7" s="42"/>
      <c r="O7" s="228"/>
    </row>
    <row r="8" spans="1:16" hidden="1" x14ac:dyDescent="0.25">
      <c r="A8" s="33"/>
      <c r="B8" s="33"/>
      <c r="C8" s="33"/>
      <c r="D8" s="33"/>
      <c r="E8" s="57"/>
      <c r="F8" s="33"/>
      <c r="G8" s="59"/>
      <c r="H8" s="33"/>
      <c r="I8" s="71"/>
      <c r="K8" s="198"/>
      <c r="L8" s="42"/>
      <c r="O8" s="228"/>
    </row>
    <row r="9" spans="1:16" x14ac:dyDescent="0.25">
      <c r="A9" s="89" t="s">
        <v>426</v>
      </c>
      <c r="B9" s="33"/>
      <c r="C9" s="33"/>
      <c r="D9" s="90"/>
      <c r="E9" s="135"/>
      <c r="F9" s="90"/>
      <c r="G9" s="136"/>
      <c r="H9" s="90"/>
      <c r="I9" s="71"/>
      <c r="K9" s="198"/>
      <c r="L9" s="42"/>
      <c r="O9" s="228"/>
    </row>
    <row r="10" spans="1:16" x14ac:dyDescent="0.25">
      <c r="A10" s="33" t="s">
        <v>427</v>
      </c>
      <c r="B10" s="33" t="s">
        <v>428</v>
      </c>
      <c r="C10" s="91">
        <v>14878</v>
      </c>
      <c r="D10" s="90">
        <v>12000</v>
      </c>
      <c r="E10" s="135">
        <v>12550</v>
      </c>
      <c r="F10" s="90">
        <v>5000</v>
      </c>
      <c r="G10" s="135">
        <v>3700</v>
      </c>
      <c r="H10" s="90">
        <v>5000</v>
      </c>
      <c r="I10" s="137">
        <v>26300</v>
      </c>
      <c r="J10" s="90">
        <v>20000</v>
      </c>
      <c r="K10" s="199">
        <v>20000</v>
      </c>
      <c r="L10" s="42"/>
      <c r="M10" s="222">
        <f>K10+(K10*'REVEN&amp;EXP - ALL FUNDS'!$E$5)</f>
        <v>20600</v>
      </c>
      <c r="N10" s="222">
        <v>0</v>
      </c>
      <c r="O10" s="229">
        <f>M10</f>
        <v>20600</v>
      </c>
    </row>
    <row r="11" spans="1:16" x14ac:dyDescent="0.25">
      <c r="A11" s="33" t="s">
        <v>429</v>
      </c>
      <c r="B11" s="33" t="s">
        <v>430</v>
      </c>
      <c r="C11" s="91">
        <v>5020</v>
      </c>
      <c r="D11" s="90">
        <v>5000</v>
      </c>
      <c r="E11" s="135">
        <v>5168</v>
      </c>
      <c r="F11" s="90">
        <v>3500</v>
      </c>
      <c r="G11" s="135">
        <v>0</v>
      </c>
      <c r="H11" s="90">
        <v>3500</v>
      </c>
      <c r="I11" s="137">
        <v>0</v>
      </c>
      <c r="J11" s="90">
        <v>3500</v>
      </c>
      <c r="K11" s="199">
        <v>3500</v>
      </c>
      <c r="L11" s="42"/>
      <c r="M11" s="222">
        <f>K11+(K11*'REVEN&amp;EXP - ALL FUNDS'!$E$5)</f>
        <v>3605</v>
      </c>
      <c r="N11" s="222">
        <v>0</v>
      </c>
      <c r="O11" s="229">
        <f t="shared" ref="O11:O17" si="0">M11</f>
        <v>3605</v>
      </c>
    </row>
    <row r="12" spans="1:16" x14ac:dyDescent="0.25">
      <c r="A12" s="33" t="s">
        <v>431</v>
      </c>
      <c r="B12" s="33" t="s">
        <v>432</v>
      </c>
      <c r="C12" s="91">
        <v>5926</v>
      </c>
      <c r="D12" s="90">
        <v>5000</v>
      </c>
      <c r="E12" s="135">
        <v>5500</v>
      </c>
      <c r="F12" s="90">
        <v>5000</v>
      </c>
      <c r="G12" s="135">
        <v>2400</v>
      </c>
      <c r="H12" s="90">
        <v>5000</v>
      </c>
      <c r="I12" s="137">
        <v>2000</v>
      </c>
      <c r="J12" s="90">
        <v>5000</v>
      </c>
      <c r="K12" s="199">
        <v>5000</v>
      </c>
      <c r="L12" s="42"/>
      <c r="M12" s="222">
        <f>K12+(K12*'REVEN&amp;EXP - ALL FUNDS'!$E$5)</f>
        <v>5150</v>
      </c>
      <c r="N12" s="222">
        <v>0</v>
      </c>
      <c r="O12" s="229">
        <f t="shared" si="0"/>
        <v>5150</v>
      </c>
    </row>
    <row r="13" spans="1:16" hidden="1" x14ac:dyDescent="0.25">
      <c r="A13" s="33" t="s">
        <v>433</v>
      </c>
      <c r="B13" s="33" t="s">
        <v>434</v>
      </c>
      <c r="C13" s="91">
        <v>12771</v>
      </c>
      <c r="D13" s="90">
        <v>0</v>
      </c>
      <c r="E13" s="135"/>
      <c r="F13" s="90">
        <v>0</v>
      </c>
      <c r="G13" s="135">
        <v>0</v>
      </c>
      <c r="H13" s="90"/>
      <c r="I13" s="137"/>
      <c r="J13" s="90"/>
      <c r="K13" s="199"/>
      <c r="L13" s="42"/>
      <c r="M13" s="222">
        <f>K13+(K13*'REVEN&amp;EXP - ALL FUNDS'!$E$5)</f>
        <v>0</v>
      </c>
      <c r="N13" s="222"/>
      <c r="O13" s="229">
        <f t="shared" si="0"/>
        <v>0</v>
      </c>
    </row>
    <row r="14" spans="1:16" x14ac:dyDescent="0.25">
      <c r="A14" s="33" t="s">
        <v>435</v>
      </c>
      <c r="B14" s="33" t="s">
        <v>436</v>
      </c>
      <c r="C14" s="91">
        <v>489994</v>
      </c>
      <c r="D14" s="90">
        <v>504825</v>
      </c>
      <c r="E14" s="135">
        <v>473883</v>
      </c>
      <c r="F14" s="90">
        <v>522494</v>
      </c>
      <c r="G14" s="135">
        <v>532986.27</v>
      </c>
      <c r="H14" s="90">
        <v>522494</v>
      </c>
      <c r="I14" s="137">
        <v>487345</v>
      </c>
      <c r="J14" s="90">
        <v>522494</v>
      </c>
      <c r="K14" s="199">
        <v>310229</v>
      </c>
      <c r="L14" s="42"/>
      <c r="M14" s="222">
        <v>400000</v>
      </c>
      <c r="N14" s="222">
        <v>0</v>
      </c>
      <c r="O14" s="229">
        <v>498000</v>
      </c>
      <c r="P14" s="33" t="s">
        <v>705</v>
      </c>
    </row>
    <row r="15" spans="1:16" hidden="1" x14ac:dyDescent="0.25">
      <c r="A15" s="33" t="s">
        <v>437</v>
      </c>
      <c r="B15" s="33" t="s">
        <v>438</v>
      </c>
      <c r="C15" s="91"/>
      <c r="D15" s="90"/>
      <c r="E15" s="135"/>
      <c r="F15" s="90"/>
      <c r="G15" s="135"/>
      <c r="H15" s="90"/>
      <c r="I15" s="137">
        <v>0</v>
      </c>
      <c r="J15" s="90"/>
      <c r="K15" s="199"/>
      <c r="L15" s="42"/>
      <c r="M15" s="222">
        <f>K15+(K15*'REVEN&amp;EXP - ALL FUNDS'!$E$5)</f>
        <v>0</v>
      </c>
      <c r="N15" s="222"/>
      <c r="O15" s="229">
        <f t="shared" si="0"/>
        <v>0</v>
      </c>
    </row>
    <row r="16" spans="1:16" x14ac:dyDescent="0.25">
      <c r="A16" s="33" t="s">
        <v>580</v>
      </c>
      <c r="B16" s="33" t="s">
        <v>582</v>
      </c>
      <c r="C16" s="91"/>
      <c r="D16" s="90"/>
      <c r="E16" s="135"/>
      <c r="F16" s="90"/>
      <c r="G16" s="135">
        <v>13400</v>
      </c>
      <c r="H16" s="90"/>
      <c r="I16" s="137">
        <v>18174.5</v>
      </c>
      <c r="J16" s="90">
        <v>20000</v>
      </c>
      <c r="K16" s="199">
        <v>12900</v>
      </c>
      <c r="L16" s="42"/>
      <c r="M16" s="222">
        <f>K16+(K16*'REVEN&amp;EXP - ALL FUNDS'!$E$5)</f>
        <v>13287</v>
      </c>
      <c r="N16" s="222">
        <v>0</v>
      </c>
      <c r="O16" s="229">
        <f t="shared" si="0"/>
        <v>13287</v>
      </c>
    </row>
    <row r="17" spans="1:16" ht="16.5" thickBot="1" x14ac:dyDescent="0.3">
      <c r="A17" s="33" t="s">
        <v>581</v>
      </c>
      <c r="B17" s="33" t="s">
        <v>583</v>
      </c>
      <c r="C17" s="94">
        <v>17500</v>
      </c>
      <c r="D17" s="123">
        <v>17500</v>
      </c>
      <c r="E17" s="142">
        <v>17500</v>
      </c>
      <c r="F17" s="123">
        <v>0</v>
      </c>
      <c r="G17" s="142">
        <v>10900</v>
      </c>
      <c r="H17" s="123">
        <v>0</v>
      </c>
      <c r="I17" s="144">
        <v>39600</v>
      </c>
      <c r="J17" s="123">
        <v>40000</v>
      </c>
      <c r="K17" s="200">
        <v>7200</v>
      </c>
      <c r="L17" s="42"/>
      <c r="M17" s="223">
        <f>K17+(K17*'REVEN&amp;EXP - ALL FUNDS'!$E$5)</f>
        <v>7416</v>
      </c>
      <c r="N17" s="223">
        <v>0</v>
      </c>
      <c r="O17" s="230">
        <f t="shared" si="0"/>
        <v>7416</v>
      </c>
    </row>
    <row r="18" spans="1:16" x14ac:dyDescent="0.25">
      <c r="A18" s="277" t="s">
        <v>439</v>
      </c>
      <c r="B18" s="277"/>
      <c r="C18" s="91">
        <f>SUM(C10:C17)</f>
        <v>546089</v>
      </c>
      <c r="D18" s="91">
        <f>SUM(D10:D17)</f>
        <v>544325</v>
      </c>
      <c r="E18" s="127">
        <f>SUM(E9:E17)</f>
        <v>514601</v>
      </c>
      <c r="F18" s="91">
        <v>535994</v>
      </c>
      <c r="G18" s="127">
        <v>563386.27</v>
      </c>
      <c r="H18" s="91">
        <v>535994</v>
      </c>
      <c r="I18" s="58">
        <f>SUM(I10:I17)</f>
        <v>573419.5</v>
      </c>
      <c r="J18" s="91">
        <f>SUM(J10:J17)</f>
        <v>610994</v>
      </c>
      <c r="K18" s="201">
        <f>SUM(K10:K17)</f>
        <v>358829</v>
      </c>
      <c r="L18" s="42"/>
      <c r="M18" s="225">
        <f>SUM(M10:M17)</f>
        <v>450058</v>
      </c>
      <c r="N18" s="225">
        <f>SUM(N10:N17)</f>
        <v>0</v>
      </c>
      <c r="O18" s="231">
        <f>SUM(O10:O17)</f>
        <v>548058</v>
      </c>
    </row>
    <row r="19" spans="1:16" x14ac:dyDescent="0.25">
      <c r="A19" s="33"/>
      <c r="B19" s="33"/>
      <c r="C19" s="126"/>
      <c r="D19" s="90"/>
      <c r="E19" s="135"/>
      <c r="F19" s="90"/>
      <c r="G19" s="136"/>
      <c r="H19" s="90"/>
      <c r="I19" s="137"/>
      <c r="J19" s="90"/>
      <c r="K19" s="199"/>
      <c r="L19" s="42"/>
      <c r="N19" s="33"/>
      <c r="O19" s="232"/>
    </row>
    <row r="20" spans="1:16" x14ac:dyDescent="0.25">
      <c r="A20" s="89" t="s">
        <v>419</v>
      </c>
      <c r="B20" s="33"/>
      <c r="C20" s="126"/>
      <c r="D20" s="90"/>
      <c r="E20" s="135"/>
      <c r="F20" s="90"/>
      <c r="G20" s="136"/>
      <c r="H20" s="90"/>
      <c r="I20" s="137"/>
      <c r="J20" s="90"/>
      <c r="K20" s="199"/>
      <c r="L20" s="42"/>
      <c r="N20" s="33"/>
      <c r="O20" s="232"/>
    </row>
    <row r="21" spans="1:16" ht="16.5" thickBot="1" x14ac:dyDescent="0.3">
      <c r="A21" s="147" t="s">
        <v>440</v>
      </c>
      <c r="B21" s="33" t="s">
        <v>441</v>
      </c>
      <c r="C21" s="94">
        <v>261462</v>
      </c>
      <c r="D21" s="123">
        <v>293000</v>
      </c>
      <c r="E21" s="142">
        <v>282977</v>
      </c>
      <c r="F21" s="123">
        <v>303255</v>
      </c>
      <c r="G21" s="142">
        <v>275781.59999999998</v>
      </c>
      <c r="H21" s="123">
        <v>303255</v>
      </c>
      <c r="I21" s="144">
        <v>311257</v>
      </c>
      <c r="J21" s="123">
        <v>303255</v>
      </c>
      <c r="K21" s="200">
        <v>154329</v>
      </c>
      <c r="L21" s="42"/>
      <c r="M21" s="223">
        <v>312353</v>
      </c>
      <c r="N21" s="223">
        <v>0</v>
      </c>
      <c r="O21" s="230">
        <f>M21</f>
        <v>312353</v>
      </c>
    </row>
    <row r="22" spans="1:16" x14ac:dyDescent="0.25">
      <c r="A22" s="277" t="s">
        <v>442</v>
      </c>
      <c r="B22" s="277"/>
      <c r="C22" s="91">
        <f>SUM(C21:C21)</f>
        <v>261462</v>
      </c>
      <c r="D22" s="91">
        <f>SUM(D21:D21)</f>
        <v>293000</v>
      </c>
      <c r="E22" s="127">
        <f>+E21</f>
        <v>282977</v>
      </c>
      <c r="F22" s="91">
        <v>303255</v>
      </c>
      <c r="G22" s="127">
        <v>275781.59999999998</v>
      </c>
      <c r="H22" s="91">
        <v>303255</v>
      </c>
      <c r="I22" s="58">
        <f>SUM(I21:I21)</f>
        <v>311257</v>
      </c>
      <c r="J22" s="91">
        <f>SUM(J21:J21)</f>
        <v>303255</v>
      </c>
      <c r="K22" s="201">
        <f>SUM(K21:K21)</f>
        <v>154329</v>
      </c>
      <c r="L22" s="42"/>
      <c r="M22" s="225">
        <f>SUM(M21:M21)</f>
        <v>312353</v>
      </c>
      <c r="N22" s="225">
        <f>SUM(N21)</f>
        <v>0</v>
      </c>
      <c r="O22" s="231">
        <f>SUM(O21)</f>
        <v>312353</v>
      </c>
    </row>
    <row r="23" spans="1:16" x14ac:dyDescent="0.25">
      <c r="A23" s="33"/>
      <c r="B23" s="33"/>
      <c r="C23" s="91"/>
      <c r="D23" s="90"/>
      <c r="E23" s="135"/>
      <c r="F23" s="90"/>
      <c r="G23" s="136"/>
      <c r="H23" s="90"/>
      <c r="I23" s="137"/>
      <c r="J23" s="90"/>
      <c r="K23" s="199"/>
      <c r="L23" s="42"/>
      <c r="N23" s="33"/>
      <c r="O23" s="232"/>
    </row>
    <row r="24" spans="1:16" x14ac:dyDescent="0.25">
      <c r="A24" s="89" t="s">
        <v>420</v>
      </c>
      <c r="B24" s="33"/>
      <c r="C24" s="33"/>
      <c r="D24" s="90"/>
      <c r="E24" s="135"/>
      <c r="F24" s="90"/>
      <c r="G24" s="136"/>
      <c r="H24" s="90"/>
      <c r="I24" s="137"/>
      <c r="J24" s="90"/>
      <c r="K24" s="199"/>
      <c r="L24" s="42"/>
      <c r="N24" s="33"/>
      <c r="O24" s="232"/>
    </row>
    <row r="25" spans="1:16" ht="16.5" thickBot="1" x14ac:dyDescent="0.3">
      <c r="A25" s="147" t="s">
        <v>443</v>
      </c>
      <c r="B25" s="33" t="s">
        <v>444</v>
      </c>
      <c r="C25" s="94">
        <v>126836</v>
      </c>
      <c r="D25" s="123">
        <v>152000</v>
      </c>
      <c r="E25" s="142">
        <v>127546</v>
      </c>
      <c r="F25" s="123">
        <v>127200</v>
      </c>
      <c r="G25" s="142">
        <v>128015.66</v>
      </c>
      <c r="H25" s="123">
        <v>127200</v>
      </c>
      <c r="I25" s="144">
        <v>169269</v>
      </c>
      <c r="J25" s="133">
        <v>216211.20000000001</v>
      </c>
      <c r="K25" s="200">
        <v>113418</v>
      </c>
      <c r="L25" s="42"/>
      <c r="M25" s="223">
        <v>169269</v>
      </c>
      <c r="N25" s="223">
        <v>0</v>
      </c>
      <c r="O25" s="230">
        <v>190124</v>
      </c>
    </row>
    <row r="26" spans="1:16" x14ac:dyDescent="0.25">
      <c r="A26" s="33"/>
      <c r="B26" s="53" t="s">
        <v>445</v>
      </c>
      <c r="C26" s="91">
        <f>SUM(C25)</f>
        <v>126836</v>
      </c>
      <c r="D26" s="91">
        <f t="shared" ref="D26" si="1">SUM(D25)</f>
        <v>152000</v>
      </c>
      <c r="E26" s="127">
        <f>+E25</f>
        <v>127546</v>
      </c>
      <c r="F26" s="91">
        <v>127200</v>
      </c>
      <c r="G26" s="127">
        <v>128015.66</v>
      </c>
      <c r="H26" s="91">
        <v>127200</v>
      </c>
      <c r="I26" s="58">
        <f t="shared" ref="I26" si="2">SUM(I25)</f>
        <v>169269</v>
      </c>
      <c r="J26" s="91">
        <f t="shared" ref="J26:M26" si="3">SUM(J25)</f>
        <v>216211.20000000001</v>
      </c>
      <c r="K26" s="201">
        <f t="shared" si="3"/>
        <v>113418</v>
      </c>
      <c r="L26" s="42"/>
      <c r="M26" s="225">
        <f t="shared" si="3"/>
        <v>169269</v>
      </c>
      <c r="N26" s="225">
        <f>SUM(N25)</f>
        <v>0</v>
      </c>
      <c r="O26" s="231">
        <f>SUM(O25)</f>
        <v>190124</v>
      </c>
    </row>
    <row r="27" spans="1:16" x14ac:dyDescent="0.25">
      <c r="A27" s="33"/>
      <c r="B27" s="33"/>
      <c r="C27" s="91"/>
      <c r="D27" s="90"/>
      <c r="E27" s="135"/>
      <c r="F27" s="90"/>
      <c r="G27" s="136"/>
      <c r="H27" s="90"/>
      <c r="I27" s="137"/>
      <c r="J27" s="90"/>
      <c r="K27" s="199"/>
      <c r="L27" s="42"/>
      <c r="N27" s="33"/>
      <c r="O27" s="232"/>
    </row>
    <row r="28" spans="1:16" x14ac:dyDescent="0.25">
      <c r="A28" s="89" t="s">
        <v>374</v>
      </c>
      <c r="B28" s="33"/>
      <c r="C28" s="91"/>
      <c r="D28" s="90"/>
      <c r="E28" s="135"/>
      <c r="F28" s="90"/>
      <c r="G28" s="136"/>
      <c r="H28" s="90"/>
      <c r="I28" s="137"/>
      <c r="J28" s="90"/>
      <c r="K28" s="199"/>
      <c r="L28" s="42"/>
      <c r="O28" s="228"/>
    </row>
    <row r="29" spans="1:16" ht="16.5" thickBot="1" x14ac:dyDescent="0.3">
      <c r="A29" s="169" t="s">
        <v>446</v>
      </c>
      <c r="B29" s="166" t="s">
        <v>447</v>
      </c>
      <c r="C29" s="167">
        <v>0</v>
      </c>
      <c r="D29" s="133">
        <v>0</v>
      </c>
      <c r="E29" s="142"/>
      <c r="F29" s="133">
        <v>0</v>
      </c>
      <c r="G29" s="170"/>
      <c r="H29" s="133"/>
      <c r="I29" s="144"/>
      <c r="J29" s="133"/>
      <c r="K29" s="200"/>
      <c r="L29" s="42"/>
      <c r="M29" s="223">
        <v>0</v>
      </c>
      <c r="N29" s="223">
        <v>0</v>
      </c>
      <c r="O29" s="230">
        <v>10000</v>
      </c>
    </row>
    <row r="30" spans="1:16" x14ac:dyDescent="0.25">
      <c r="A30" s="33"/>
      <c r="B30" s="53" t="s">
        <v>377</v>
      </c>
      <c r="C30" s="91">
        <f>SUM(C29)</f>
        <v>0</v>
      </c>
      <c r="D30" s="90">
        <f t="shared" ref="D30" si="4">SUM(D29)</f>
        <v>0</v>
      </c>
      <c r="E30" s="135"/>
      <c r="F30" s="90">
        <v>0</v>
      </c>
      <c r="G30" s="136"/>
      <c r="H30" s="90">
        <v>0</v>
      </c>
      <c r="I30" s="137">
        <f t="shared" ref="I30" si="5">SUM(I29)</f>
        <v>0</v>
      </c>
      <c r="J30" s="90">
        <f t="shared" ref="J30:K30" si="6">SUM(J29)</f>
        <v>0</v>
      </c>
      <c r="K30" s="199">
        <f t="shared" si="6"/>
        <v>0</v>
      </c>
      <c r="L30" s="42"/>
      <c r="M30" s="225">
        <f>SUM(M29)</f>
        <v>0</v>
      </c>
      <c r="N30" s="225">
        <f>SUM(N29)</f>
        <v>0</v>
      </c>
      <c r="O30" s="231">
        <f>SUM(O29)</f>
        <v>10000</v>
      </c>
    </row>
    <row r="31" spans="1:16" x14ac:dyDescent="0.25">
      <c r="A31" s="89" t="s">
        <v>42</v>
      </c>
      <c r="B31" s="33"/>
      <c r="C31" s="33"/>
      <c r="D31" s="90"/>
      <c r="E31" s="135"/>
      <c r="F31" s="90"/>
      <c r="G31" s="136"/>
      <c r="H31" s="90"/>
      <c r="I31" s="137"/>
      <c r="J31" s="90"/>
      <c r="K31" s="199"/>
      <c r="L31" s="42"/>
      <c r="O31" s="228"/>
    </row>
    <row r="32" spans="1:16" x14ac:dyDescent="0.25">
      <c r="A32" s="147" t="s">
        <v>448</v>
      </c>
      <c r="B32" s="33" t="s">
        <v>449</v>
      </c>
      <c r="C32" s="91">
        <v>17345</v>
      </c>
      <c r="D32" s="90">
        <v>19868</v>
      </c>
      <c r="E32" s="135">
        <v>45253.99</v>
      </c>
      <c r="F32" s="90">
        <v>1000</v>
      </c>
      <c r="G32" s="135">
        <v>18574.189999999999</v>
      </c>
      <c r="H32" s="90">
        <v>1000</v>
      </c>
      <c r="I32" s="137">
        <v>16859</v>
      </c>
      <c r="J32" s="90">
        <v>20000</v>
      </c>
      <c r="K32" s="199">
        <v>11035</v>
      </c>
      <c r="L32" s="42"/>
      <c r="M32" s="222">
        <v>0</v>
      </c>
      <c r="N32" s="222">
        <v>0</v>
      </c>
      <c r="O32" s="229">
        <v>0</v>
      </c>
      <c r="P32" s="222"/>
    </row>
    <row r="33" spans="1:16" ht="16.5" thickBot="1" x14ac:dyDescent="0.3">
      <c r="A33" s="147" t="s">
        <v>450</v>
      </c>
      <c r="B33" s="33" t="s">
        <v>579</v>
      </c>
      <c r="C33" s="94">
        <v>0</v>
      </c>
      <c r="D33" s="90">
        <v>2000</v>
      </c>
      <c r="E33" s="135">
        <v>50</v>
      </c>
      <c r="F33" s="90">
        <v>0</v>
      </c>
      <c r="G33" s="135">
        <v>2452.4</v>
      </c>
      <c r="H33" s="90">
        <v>0</v>
      </c>
      <c r="I33" s="137">
        <v>1833.28</v>
      </c>
      <c r="J33" s="90">
        <v>2000</v>
      </c>
      <c r="K33" s="199">
        <v>2000</v>
      </c>
      <c r="L33" s="42"/>
      <c r="M33" s="222">
        <f>K33+(K33*'REVEN&amp;EXP - ALL FUNDS'!$E$5)</f>
        <v>2060</v>
      </c>
      <c r="N33" s="222">
        <v>0</v>
      </c>
      <c r="O33" s="229">
        <f>M33</f>
        <v>2060</v>
      </c>
      <c r="P33" s="222"/>
    </row>
    <row r="34" spans="1:16" x14ac:dyDescent="0.25">
      <c r="A34" s="147" t="s">
        <v>152</v>
      </c>
      <c r="B34" s="33" t="s">
        <v>153</v>
      </c>
      <c r="C34" s="91"/>
      <c r="D34" s="90"/>
      <c r="E34" s="135"/>
      <c r="F34" s="90"/>
      <c r="G34" s="135"/>
      <c r="H34" s="90"/>
      <c r="I34" s="137">
        <v>25</v>
      </c>
      <c r="J34" s="90">
        <v>50</v>
      </c>
      <c r="K34" s="199">
        <v>50</v>
      </c>
      <c r="L34" s="42"/>
      <c r="M34" s="222">
        <f>K34+(K34*'REVEN&amp;EXP - ALL FUNDS'!$E$5)</f>
        <v>51.5</v>
      </c>
      <c r="N34" s="222">
        <v>0</v>
      </c>
      <c r="O34" s="229">
        <f t="shared" ref="O34:O35" si="7">M34</f>
        <v>51.5</v>
      </c>
      <c r="P34" s="222"/>
    </row>
    <row r="35" spans="1:16" ht="16.5" thickBot="1" x14ac:dyDescent="0.3">
      <c r="A35" s="147" t="s">
        <v>187</v>
      </c>
      <c r="B35" s="33" t="s">
        <v>188</v>
      </c>
      <c r="C35" s="91"/>
      <c r="D35" s="123">
        <v>0</v>
      </c>
      <c r="E35" s="142">
        <v>1417</v>
      </c>
      <c r="F35" s="123">
        <v>0</v>
      </c>
      <c r="G35" s="142">
        <v>930.07</v>
      </c>
      <c r="H35" s="123">
        <v>800</v>
      </c>
      <c r="I35" s="144">
        <v>495.28</v>
      </c>
      <c r="J35" s="123">
        <v>1000</v>
      </c>
      <c r="K35" s="200">
        <v>1000</v>
      </c>
      <c r="L35" s="42"/>
      <c r="M35" s="223">
        <f>K35+(K35*'REVEN&amp;EXP - ALL FUNDS'!$E$5)</f>
        <v>1030</v>
      </c>
      <c r="N35" s="223">
        <v>0</v>
      </c>
      <c r="O35" s="230">
        <f t="shared" si="7"/>
        <v>1030</v>
      </c>
      <c r="P35" s="222"/>
    </row>
    <row r="36" spans="1:16" x14ac:dyDescent="0.25">
      <c r="A36" s="33"/>
      <c r="B36" s="53" t="s">
        <v>194</v>
      </c>
      <c r="C36" s="91">
        <f>SUM(C32:C33)</f>
        <v>17345</v>
      </c>
      <c r="D36" s="91">
        <f t="shared" ref="D36:J36" si="8">SUM(D32:D35)</f>
        <v>21868</v>
      </c>
      <c r="E36" s="127">
        <f t="shared" si="8"/>
        <v>46720.99</v>
      </c>
      <c r="F36" s="91">
        <v>1000</v>
      </c>
      <c r="G36" s="127">
        <v>21956.66</v>
      </c>
      <c r="H36" s="91">
        <v>1800</v>
      </c>
      <c r="I36" s="58">
        <f t="shared" si="8"/>
        <v>19212.559999999998</v>
      </c>
      <c r="J36" s="91">
        <f t="shared" si="8"/>
        <v>23050</v>
      </c>
      <c r="K36" s="201">
        <f t="shared" ref="K36" si="9">SUM(K32:K35)</f>
        <v>14085</v>
      </c>
      <c r="L36" s="42"/>
      <c r="M36" s="225">
        <f t="shared" ref="M36" si="10">SUM(M32:M35)</f>
        <v>3141.5</v>
      </c>
      <c r="N36" s="225">
        <f>SUM(N32:N35)</f>
        <v>0</v>
      </c>
      <c r="O36" s="231">
        <f>SUM(O32:O35)</f>
        <v>3141.5</v>
      </c>
      <c r="P36" s="222"/>
    </row>
    <row r="37" spans="1:16" x14ac:dyDescent="0.25">
      <c r="A37" s="33"/>
      <c r="B37" s="33"/>
      <c r="C37" s="33"/>
      <c r="D37" s="90"/>
      <c r="E37" s="135"/>
      <c r="F37" s="90"/>
      <c r="G37" s="136"/>
      <c r="H37" s="90"/>
      <c r="I37" s="137"/>
      <c r="J37" s="90"/>
      <c r="K37" s="199"/>
      <c r="L37" s="42"/>
      <c r="M37" s="222"/>
      <c r="N37" s="222"/>
      <c r="O37" s="229"/>
      <c r="P37" s="222"/>
    </row>
    <row r="38" spans="1:16" x14ac:dyDescent="0.25">
      <c r="A38" s="33"/>
      <c r="B38" s="106" t="s">
        <v>43</v>
      </c>
      <c r="C38" s="107">
        <f>C18+C22+C26+C36</f>
        <v>951732</v>
      </c>
      <c r="D38" s="107">
        <f t="shared" ref="D38:E38" si="11">D18+D22+D26+D36</f>
        <v>1011193</v>
      </c>
      <c r="E38" s="55">
        <f t="shared" si="11"/>
        <v>971844.99</v>
      </c>
      <c r="F38" s="107">
        <v>967449</v>
      </c>
      <c r="G38" s="55">
        <v>989140.19000000006</v>
      </c>
      <c r="H38" s="107">
        <v>968249</v>
      </c>
      <c r="I38" s="56">
        <f>I18+I22+I26+I30+I36</f>
        <v>1073158.06</v>
      </c>
      <c r="J38" s="107">
        <f>J18+J22+J26+J30+J36</f>
        <v>1153510.2</v>
      </c>
      <c r="K38" s="202">
        <f>K18+K22+K26+K30+K36</f>
        <v>640661</v>
      </c>
      <c r="L38" s="42"/>
      <c r="M38" s="240">
        <f>M18+M22+M26+M30+M36</f>
        <v>934821.5</v>
      </c>
      <c r="N38" s="240">
        <f t="shared" ref="N38" si="12">N18+N22+N26+N30+N36</f>
        <v>0</v>
      </c>
      <c r="O38" s="243">
        <f>O18+O22+O26+O30+O36</f>
        <v>1063676.5</v>
      </c>
      <c r="P38" s="222"/>
    </row>
    <row r="39" spans="1:16" x14ac:dyDescent="0.25">
      <c r="A39" s="33"/>
      <c r="B39" s="33"/>
      <c r="C39" s="33"/>
      <c r="D39" s="33"/>
      <c r="E39" s="33"/>
      <c r="F39" s="33"/>
      <c r="H39" s="33"/>
    </row>
    <row r="40" spans="1:16" x14ac:dyDescent="0.25">
      <c r="A40" s="33"/>
      <c r="B40" s="216"/>
      <c r="C40" s="216"/>
      <c r="D40" s="216"/>
      <c r="E40" s="216"/>
      <c r="F40" s="216"/>
      <c r="G40" s="217"/>
      <c r="H40" s="216"/>
    </row>
    <row r="41" spans="1:16" x14ac:dyDescent="0.25">
      <c r="A41" s="33"/>
      <c r="B41" s="216"/>
      <c r="C41" s="216"/>
      <c r="D41" s="216"/>
      <c r="E41" s="216"/>
      <c r="F41" s="216"/>
      <c r="G41" s="217"/>
      <c r="H41" s="216"/>
    </row>
    <row r="42" spans="1:16" x14ac:dyDescent="0.25">
      <c r="A42" s="33"/>
      <c r="B42" s="33"/>
      <c r="C42" s="33"/>
      <c r="D42" s="33"/>
      <c r="E42" s="33"/>
      <c r="F42" s="33"/>
      <c r="H42" s="33"/>
    </row>
    <row r="43" spans="1:16" x14ac:dyDescent="0.25">
      <c r="A43" s="33"/>
      <c r="B43" s="33"/>
      <c r="C43" s="33"/>
      <c r="D43" s="33"/>
      <c r="E43" s="33"/>
      <c r="F43" s="33"/>
      <c r="H43" s="33"/>
    </row>
    <row r="44" spans="1:16" x14ac:dyDescent="0.25">
      <c r="A44" s="33"/>
      <c r="B44" s="33"/>
      <c r="C44" s="33"/>
      <c r="D44" s="33"/>
      <c r="E44" s="33"/>
      <c r="F44" s="33"/>
      <c r="H44" s="33"/>
    </row>
    <row r="45" spans="1:16" x14ac:dyDescent="0.25">
      <c r="A45" s="33"/>
      <c r="B45" s="33"/>
      <c r="C45" s="33"/>
      <c r="D45" s="33"/>
      <c r="E45" s="33"/>
      <c r="F45" s="33"/>
      <c r="H45" s="33"/>
    </row>
    <row r="46" spans="1:16" x14ac:dyDescent="0.25">
      <c r="A46" s="33"/>
      <c r="B46" s="33"/>
      <c r="C46" s="33"/>
      <c r="D46" s="33"/>
      <c r="E46" s="33"/>
      <c r="F46" s="33"/>
      <c r="H46" s="33"/>
    </row>
    <row r="47" spans="1:16" x14ac:dyDescent="0.25">
      <c r="A47" s="33"/>
      <c r="B47" s="33"/>
      <c r="C47" s="33"/>
      <c r="D47" s="33"/>
      <c r="E47" s="33"/>
      <c r="F47" s="33"/>
      <c r="H47" s="33"/>
    </row>
    <row r="48" spans="1:16" x14ac:dyDescent="0.25">
      <c r="A48" s="33"/>
      <c r="B48" s="33"/>
      <c r="C48" s="33"/>
      <c r="D48" s="33"/>
      <c r="E48" s="33"/>
      <c r="F48" s="33"/>
      <c r="H48" s="33"/>
    </row>
    <row r="49" spans="1:8" x14ac:dyDescent="0.25">
      <c r="A49" s="33"/>
      <c r="B49" s="33"/>
      <c r="C49" s="33"/>
      <c r="D49" s="33"/>
      <c r="E49" s="33"/>
      <c r="F49" s="33"/>
      <c r="H49" s="33"/>
    </row>
    <row r="50" spans="1:8" x14ac:dyDescent="0.25">
      <c r="A50" s="33"/>
      <c r="B50" s="33"/>
      <c r="C50" s="33"/>
      <c r="D50" s="33"/>
      <c r="E50" s="33"/>
      <c r="F50" s="33"/>
      <c r="H50" s="33"/>
    </row>
  </sheetData>
  <mergeCells count="2">
    <mergeCell ref="A18:B18"/>
    <mergeCell ref="A22:B22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H95"/>
  <sheetViews>
    <sheetView zoomScale="90" zoomScaleNormal="90" workbookViewId="0">
      <selection activeCell="AG97" sqref="AG97"/>
    </sheetView>
  </sheetViews>
  <sheetFormatPr defaultColWidth="9.140625" defaultRowHeight="15.75" x14ac:dyDescent="0.25"/>
  <cols>
    <col min="1" max="1" width="11.140625" style="34" customWidth="1"/>
    <col min="2" max="2" width="34.5703125" style="34" bestFit="1" customWidth="1"/>
    <col min="3" max="3" width="13" style="34" hidden="1" customWidth="1"/>
    <col min="4" max="5" width="12.5703125" style="116" hidden="1" customWidth="1"/>
    <col min="6" max="7" width="14.85546875" style="116" hidden="1" customWidth="1"/>
    <col min="8" max="8" width="15" style="116" hidden="1" customWidth="1"/>
    <col min="9" max="9" width="18.42578125" style="34" hidden="1" customWidth="1"/>
    <col min="10" max="11" width="17.42578125" style="34" hidden="1" customWidth="1"/>
    <col min="12" max="12" width="3" style="34" hidden="1" customWidth="1"/>
    <col min="13" max="15" width="14.28515625" style="34" customWidth="1"/>
    <col min="16" max="17" width="9.140625" style="33"/>
    <col min="18" max="16384" width="9.140625" style="34"/>
  </cols>
  <sheetData>
    <row r="1" spans="1:15" x14ac:dyDescent="0.25">
      <c r="A1" s="32" t="s">
        <v>563</v>
      </c>
      <c r="B1" s="32"/>
      <c r="C1" s="32"/>
      <c r="D1" s="32"/>
      <c r="E1" s="32"/>
      <c r="F1" s="32"/>
      <c r="G1" s="32"/>
      <c r="H1" s="32"/>
    </row>
    <row r="2" spans="1:15" x14ac:dyDescent="0.25">
      <c r="A2" s="32" t="s">
        <v>564</v>
      </c>
      <c r="B2" s="32"/>
      <c r="C2" s="32"/>
      <c r="D2" s="32"/>
      <c r="E2" s="32"/>
      <c r="F2" s="32"/>
      <c r="G2" s="32"/>
      <c r="H2" s="32"/>
    </row>
    <row r="3" spans="1:15" x14ac:dyDescent="0.25">
      <c r="A3" s="32" t="str">
        <f>+'UF - ADMIN'!A3</f>
        <v>FISCAL YEAR 2023-2024</v>
      </c>
      <c r="B3" s="32"/>
      <c r="C3" s="32"/>
      <c r="D3" s="32"/>
      <c r="E3" s="32"/>
      <c r="F3" s="32"/>
      <c r="G3" s="32"/>
      <c r="H3" s="32"/>
    </row>
    <row r="5" spans="1:15" ht="47.25" customHeight="1" thickBot="1" x14ac:dyDescent="0.3">
      <c r="A5" s="79" t="s">
        <v>698</v>
      </c>
      <c r="B5" s="66"/>
      <c r="C5" s="36" t="s">
        <v>1</v>
      </c>
      <c r="D5" s="118" t="s">
        <v>2</v>
      </c>
      <c r="E5" s="171" t="str">
        <f>+'UF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tr">
        <f>+'UF - ADMIN'!J5</f>
        <v>FY21-22  BUDGET</v>
      </c>
      <c r="K5" s="197" t="str">
        <f>+'UF - ADMIN'!K5</f>
        <v>FY 21-22 BUDGET</v>
      </c>
      <c r="L5" s="42"/>
      <c r="M5" s="37" t="s">
        <v>703</v>
      </c>
      <c r="N5" s="37" t="s">
        <v>687</v>
      </c>
      <c r="O5" s="227" t="s">
        <v>685</v>
      </c>
    </row>
    <row r="6" spans="1:15" hidden="1" x14ac:dyDescent="0.25">
      <c r="A6" s="33"/>
      <c r="B6" s="33"/>
      <c r="C6" s="33"/>
      <c r="D6" s="90"/>
      <c r="E6" s="135"/>
      <c r="G6" s="136"/>
      <c r="I6" s="71"/>
      <c r="K6" s="198"/>
      <c r="L6" s="42"/>
      <c r="M6" s="33"/>
      <c r="N6" s="33"/>
      <c r="O6" s="33"/>
    </row>
    <row r="7" spans="1:15" hidden="1" x14ac:dyDescent="0.25">
      <c r="A7" s="39" t="s">
        <v>195</v>
      </c>
      <c r="B7" s="33"/>
      <c r="C7" s="33"/>
      <c r="D7" s="90"/>
      <c r="E7" s="135"/>
      <c r="G7" s="136"/>
      <c r="I7" s="71"/>
      <c r="K7" s="198"/>
      <c r="L7" s="42"/>
      <c r="M7" s="33"/>
      <c r="N7" s="33"/>
      <c r="O7" s="33"/>
    </row>
    <row r="8" spans="1:15" hidden="1" x14ac:dyDescent="0.25">
      <c r="A8" s="53">
        <v>14</v>
      </c>
      <c r="B8" s="39" t="s">
        <v>483</v>
      </c>
      <c r="C8" s="33"/>
      <c r="D8" s="90"/>
      <c r="E8" s="135"/>
      <c r="G8" s="136"/>
      <c r="I8" s="71"/>
      <c r="K8" s="198"/>
      <c r="L8" s="42"/>
      <c r="M8" s="33"/>
      <c r="N8" s="33"/>
      <c r="O8" s="33"/>
    </row>
    <row r="9" spans="1:15" hidden="1" x14ac:dyDescent="0.25">
      <c r="A9" s="33"/>
      <c r="B9" s="43"/>
      <c r="C9" s="33"/>
      <c r="D9" s="90"/>
      <c r="E9" s="135"/>
      <c r="G9" s="136"/>
      <c r="I9" s="71"/>
      <c r="K9" s="198"/>
      <c r="L9" s="42"/>
      <c r="M9" s="33"/>
      <c r="N9" s="33"/>
      <c r="O9" s="33"/>
    </row>
    <row r="10" spans="1:15" x14ac:dyDescent="0.25">
      <c r="A10" s="89" t="s">
        <v>198</v>
      </c>
      <c r="B10" s="33"/>
      <c r="C10" s="33"/>
      <c r="D10" s="90"/>
      <c r="E10" s="135"/>
      <c r="G10" s="136"/>
      <c r="I10" s="71"/>
      <c r="K10" s="198"/>
      <c r="L10" s="42"/>
      <c r="M10" s="33"/>
      <c r="N10" s="33"/>
      <c r="O10" s="33"/>
    </row>
    <row r="11" spans="1:15" x14ac:dyDescent="0.25">
      <c r="A11" s="147" t="s">
        <v>484</v>
      </c>
      <c r="B11" s="33" t="s">
        <v>200</v>
      </c>
      <c r="C11" s="91">
        <v>173343.9</v>
      </c>
      <c r="D11" s="90">
        <v>290000</v>
      </c>
      <c r="E11" s="135">
        <v>0</v>
      </c>
      <c r="F11" s="90">
        <v>235000</v>
      </c>
      <c r="G11" s="135">
        <v>143747.87</v>
      </c>
      <c r="H11" s="90">
        <v>103813</v>
      </c>
      <c r="I11" s="137">
        <v>80297.95</v>
      </c>
      <c r="J11" s="90">
        <v>145368</v>
      </c>
      <c r="K11" s="199">
        <f>J11</f>
        <v>145368</v>
      </c>
      <c r="L11" s="42"/>
      <c r="M11" s="222">
        <v>218000</v>
      </c>
      <c r="N11" s="222">
        <v>0</v>
      </c>
      <c r="O11" s="222">
        <v>180000</v>
      </c>
    </row>
    <row r="12" spans="1:15" x14ac:dyDescent="0.25">
      <c r="A12" s="147" t="s">
        <v>485</v>
      </c>
      <c r="B12" s="33" t="s">
        <v>249</v>
      </c>
      <c r="C12" s="91">
        <v>15467.13</v>
      </c>
      <c r="D12" s="90">
        <v>0</v>
      </c>
      <c r="E12" s="135">
        <v>0</v>
      </c>
      <c r="F12" s="90">
        <v>14000</v>
      </c>
      <c r="G12" s="135">
        <v>12166.38</v>
      </c>
      <c r="H12" s="90">
        <v>8000</v>
      </c>
      <c r="I12" s="137">
        <v>18670.900000000001</v>
      </c>
      <c r="J12" s="90">
        <v>9000</v>
      </c>
      <c r="K12" s="199">
        <f t="shared" ref="K12:K75" si="0">J12</f>
        <v>9000</v>
      </c>
      <c r="L12" s="42"/>
      <c r="M12" s="222">
        <v>18761</v>
      </c>
      <c r="N12" s="222">
        <v>0</v>
      </c>
      <c r="O12" s="222">
        <f t="shared" ref="O12:O21" si="1">M12</f>
        <v>18761</v>
      </c>
    </row>
    <row r="13" spans="1:15" x14ac:dyDescent="0.25">
      <c r="A13" s="147" t="s">
        <v>486</v>
      </c>
      <c r="B13" s="33" t="s">
        <v>202</v>
      </c>
      <c r="C13" s="91">
        <f>((10.75+0.88)*12)*4</f>
        <v>558.24</v>
      </c>
      <c r="D13" s="90">
        <v>0</v>
      </c>
      <c r="E13" s="135">
        <v>0</v>
      </c>
      <c r="F13" s="90">
        <v>558.24</v>
      </c>
      <c r="G13" s="135">
        <v>57.33</v>
      </c>
      <c r="H13" s="90">
        <v>458</v>
      </c>
      <c r="I13" s="137">
        <v>73.709999999999994</v>
      </c>
      <c r="J13" s="90">
        <v>210</v>
      </c>
      <c r="K13" s="199">
        <f t="shared" si="0"/>
        <v>210</v>
      </c>
      <c r="L13" s="42"/>
      <c r="M13" s="222">
        <f>K13+(K13*'REVEN&amp;EXP - ALL FUNDS'!$E$5)</f>
        <v>216.3</v>
      </c>
      <c r="N13" s="222">
        <v>0</v>
      </c>
      <c r="O13" s="222">
        <f t="shared" si="1"/>
        <v>216.3</v>
      </c>
    </row>
    <row r="14" spans="1:15" x14ac:dyDescent="0.25">
      <c r="A14" s="147" t="s">
        <v>487</v>
      </c>
      <c r="B14" s="33" t="s">
        <v>204</v>
      </c>
      <c r="C14" s="91">
        <v>3273</v>
      </c>
      <c r="D14" s="90">
        <v>4350</v>
      </c>
      <c r="E14" s="135">
        <v>0</v>
      </c>
      <c r="F14" s="90">
        <v>4350</v>
      </c>
      <c r="G14" s="135">
        <v>3476.72</v>
      </c>
      <c r="H14" s="90">
        <v>1621.2885000000001</v>
      </c>
      <c r="I14" s="137">
        <v>1345.2</v>
      </c>
      <c r="J14" s="90">
        <v>2238</v>
      </c>
      <c r="K14" s="199">
        <f t="shared" si="0"/>
        <v>2238</v>
      </c>
      <c r="L14" s="42"/>
      <c r="M14" s="222">
        <f>K14+(K14*'REVEN&amp;EXP - ALL FUNDS'!$E$5)</f>
        <v>2305.14</v>
      </c>
      <c r="N14" s="222">
        <v>0</v>
      </c>
      <c r="O14" s="222">
        <f t="shared" si="1"/>
        <v>2305.14</v>
      </c>
    </row>
    <row r="15" spans="1:15" x14ac:dyDescent="0.25">
      <c r="A15" s="147" t="s">
        <v>489</v>
      </c>
      <c r="B15" s="33" t="s">
        <v>208</v>
      </c>
      <c r="C15" s="91">
        <v>11348</v>
      </c>
      <c r="D15" s="90">
        <v>16966</v>
      </c>
      <c r="E15" s="135">
        <v>0</v>
      </c>
      <c r="F15" s="90">
        <v>13894.2</v>
      </c>
      <c r="G15" s="135">
        <v>-6458.59</v>
      </c>
      <c r="H15" s="90">
        <v>6239.1653999999999</v>
      </c>
      <c r="I15" s="137">
        <v>5549.18</v>
      </c>
      <c r="J15" s="90">
        <v>7626</v>
      </c>
      <c r="K15" s="199">
        <f t="shared" si="0"/>
        <v>7626</v>
      </c>
      <c r="L15" s="42"/>
      <c r="M15" s="222">
        <f>K15+(K15*'REVEN&amp;EXP - ALL FUNDS'!$E$5)</f>
        <v>7854.78</v>
      </c>
      <c r="N15" s="222">
        <v>0</v>
      </c>
      <c r="O15" s="222">
        <f t="shared" si="1"/>
        <v>7854.78</v>
      </c>
    </row>
    <row r="16" spans="1:15" x14ac:dyDescent="0.25">
      <c r="A16" s="147" t="s">
        <v>490</v>
      </c>
      <c r="B16" s="33" t="s">
        <v>210</v>
      </c>
      <c r="C16" s="91">
        <v>22399</v>
      </c>
      <c r="D16" s="90">
        <v>35600</v>
      </c>
      <c r="E16" s="135">
        <v>0</v>
      </c>
      <c r="F16" s="90">
        <v>26233.919999999998</v>
      </c>
      <c r="G16" s="135">
        <v>20020.990000000002</v>
      </c>
      <c r="H16" s="90">
        <v>17035</v>
      </c>
      <c r="I16" s="137">
        <v>16645.86</v>
      </c>
      <c r="J16" s="90">
        <v>28629</v>
      </c>
      <c r="K16" s="199">
        <f t="shared" si="0"/>
        <v>28629</v>
      </c>
      <c r="L16" s="42"/>
      <c r="M16" s="222">
        <v>40880</v>
      </c>
      <c r="N16" s="222">
        <v>0</v>
      </c>
      <c r="O16" s="222">
        <v>33500</v>
      </c>
    </row>
    <row r="17" spans="1:15" ht="16.5" thickBot="1" x14ac:dyDescent="0.3">
      <c r="A17" s="147" t="s">
        <v>491</v>
      </c>
      <c r="B17" s="33" t="s">
        <v>212</v>
      </c>
      <c r="C17" s="94">
        <v>0</v>
      </c>
      <c r="D17" s="90">
        <v>4000</v>
      </c>
      <c r="E17" s="135">
        <v>0</v>
      </c>
      <c r="F17" s="90">
        <v>4000</v>
      </c>
      <c r="G17" s="135"/>
      <c r="H17" s="90">
        <v>6858</v>
      </c>
      <c r="I17" s="137">
        <v>5014</v>
      </c>
      <c r="J17" s="90">
        <v>5014</v>
      </c>
      <c r="K17" s="199">
        <f t="shared" si="0"/>
        <v>5014</v>
      </c>
      <c r="L17" s="42"/>
      <c r="M17" s="222">
        <v>6000</v>
      </c>
      <c r="N17" s="222">
        <v>0</v>
      </c>
      <c r="O17" s="222">
        <f t="shared" si="1"/>
        <v>6000</v>
      </c>
    </row>
    <row r="18" spans="1:15" x14ac:dyDescent="0.25">
      <c r="A18" s="33" t="s">
        <v>488</v>
      </c>
      <c r="B18" s="33" t="s">
        <v>206</v>
      </c>
      <c r="C18" s="91"/>
      <c r="D18" s="90">
        <v>0</v>
      </c>
      <c r="E18" s="135">
        <v>0</v>
      </c>
      <c r="F18" s="90">
        <v>0</v>
      </c>
      <c r="G18" s="135">
        <v>38.61</v>
      </c>
      <c r="H18" s="90">
        <v>6436.4059999999999</v>
      </c>
      <c r="I18" s="137">
        <v>5266.6</v>
      </c>
      <c r="J18" s="90">
        <v>9571</v>
      </c>
      <c r="K18" s="199">
        <f t="shared" si="0"/>
        <v>9571</v>
      </c>
      <c r="L18" s="42"/>
      <c r="M18" s="222">
        <f>K18+(K18*'REVEN&amp;EXP - ALL FUNDS'!$E$5)</f>
        <v>9858.1299999999992</v>
      </c>
      <c r="N18" s="222">
        <v>0</v>
      </c>
      <c r="O18" s="222">
        <f t="shared" si="1"/>
        <v>9858.1299999999992</v>
      </c>
    </row>
    <row r="19" spans="1:15" x14ac:dyDescent="0.25">
      <c r="A19" s="147" t="s">
        <v>493</v>
      </c>
      <c r="B19" s="33" t="s">
        <v>300</v>
      </c>
      <c r="C19" s="91">
        <v>1530</v>
      </c>
      <c r="D19" s="90">
        <v>2160</v>
      </c>
      <c r="E19" s="135">
        <v>0</v>
      </c>
      <c r="F19" s="90">
        <v>1620</v>
      </c>
      <c r="G19" s="135">
        <v>1010</v>
      </c>
      <c r="H19" s="90">
        <v>540</v>
      </c>
      <c r="I19" s="137">
        <v>810</v>
      </c>
      <c r="J19" s="90">
        <v>1620</v>
      </c>
      <c r="K19" s="199">
        <f t="shared" si="0"/>
        <v>1620</v>
      </c>
      <c r="L19" s="42"/>
      <c r="M19" s="222">
        <f>K19+(K19*'REVEN&amp;EXP - ALL FUNDS'!$E$5)</f>
        <v>1668.6</v>
      </c>
      <c r="N19" s="222">
        <v>0</v>
      </c>
      <c r="O19" s="222">
        <v>1260</v>
      </c>
    </row>
    <row r="20" spans="1:15" x14ac:dyDescent="0.25">
      <c r="A20" s="147" t="s">
        <v>492</v>
      </c>
      <c r="B20" s="33" t="s">
        <v>302</v>
      </c>
      <c r="C20" s="91">
        <v>950</v>
      </c>
      <c r="D20" s="90">
        <v>0</v>
      </c>
      <c r="E20" s="135">
        <v>0</v>
      </c>
      <c r="F20" s="90">
        <v>1850</v>
      </c>
      <c r="G20" s="135">
        <v>1450</v>
      </c>
      <c r="H20" s="90">
        <v>1300</v>
      </c>
      <c r="I20" s="137">
        <v>1400</v>
      </c>
      <c r="J20" s="90">
        <v>1950</v>
      </c>
      <c r="K20" s="199">
        <f t="shared" si="0"/>
        <v>1950</v>
      </c>
      <c r="L20" s="42"/>
      <c r="M20" s="222">
        <v>2600</v>
      </c>
      <c r="N20" s="222">
        <v>0</v>
      </c>
      <c r="O20" s="222">
        <f t="shared" si="1"/>
        <v>2600</v>
      </c>
    </row>
    <row r="21" spans="1:15" ht="16.5" thickBot="1" x14ac:dyDescent="0.3">
      <c r="A21" s="147" t="s">
        <v>494</v>
      </c>
      <c r="B21" s="33" t="s">
        <v>495</v>
      </c>
      <c r="C21" s="91">
        <v>4000</v>
      </c>
      <c r="D21" s="123">
        <v>4800</v>
      </c>
      <c r="E21" s="142">
        <v>0</v>
      </c>
      <c r="F21" s="123">
        <v>4800</v>
      </c>
      <c r="G21" s="142">
        <v>2000</v>
      </c>
      <c r="H21" s="123">
        <v>0</v>
      </c>
      <c r="I21" s="144">
        <v>0</v>
      </c>
      <c r="J21" s="123">
        <v>0</v>
      </c>
      <c r="K21" s="200">
        <f t="shared" si="0"/>
        <v>0</v>
      </c>
      <c r="L21" s="42"/>
      <c r="M21" s="223">
        <f>K21+(K21*'REVEN&amp;EXP - ALL FUNDS'!$E$5)</f>
        <v>0</v>
      </c>
      <c r="N21" s="223">
        <v>0</v>
      </c>
      <c r="O21" s="223">
        <f t="shared" si="1"/>
        <v>0</v>
      </c>
    </row>
    <row r="22" spans="1:15" x14ac:dyDescent="0.25">
      <c r="A22" s="277" t="s">
        <v>213</v>
      </c>
      <c r="B22" s="277"/>
      <c r="C22" s="91">
        <f>SUM(C11:C17)</f>
        <v>226389.27</v>
      </c>
      <c r="D22" s="91">
        <f>SUM(D11:D21)</f>
        <v>357876</v>
      </c>
      <c r="E22" s="127">
        <f>SUM(E11:E21)</f>
        <v>0</v>
      </c>
      <c r="F22" s="91">
        <v>306306.36</v>
      </c>
      <c r="G22" s="127">
        <v>177509.30999999997</v>
      </c>
      <c r="H22" s="91">
        <v>152300.85989999998</v>
      </c>
      <c r="I22" s="58">
        <f>SUM(I11:I21)</f>
        <v>135073.4</v>
      </c>
      <c r="J22" s="91">
        <f>SUM(J11:J21)</f>
        <v>211226</v>
      </c>
      <c r="K22" s="199">
        <f t="shared" si="0"/>
        <v>211226</v>
      </c>
      <c r="L22" s="42"/>
      <c r="M22" s="225">
        <f>SUM(M11:M21)</f>
        <v>308143.94999999995</v>
      </c>
      <c r="N22" s="225">
        <f>SUM(N11:N21)</f>
        <v>0</v>
      </c>
      <c r="O22" s="225">
        <f>SUM(O11:O21)</f>
        <v>262355.34999999998</v>
      </c>
    </row>
    <row r="23" spans="1:15" x14ac:dyDescent="0.25">
      <c r="A23" s="33"/>
      <c r="B23" s="33"/>
      <c r="C23" s="126"/>
      <c r="D23" s="90"/>
      <c r="E23" s="135"/>
      <c r="F23" s="90"/>
      <c r="G23" s="135"/>
      <c r="H23" s="90"/>
      <c r="I23" s="137"/>
      <c r="K23" s="199"/>
      <c r="L23" s="42"/>
      <c r="M23" s="33"/>
      <c r="N23" s="33"/>
      <c r="O23" s="33"/>
    </row>
    <row r="24" spans="1:15" x14ac:dyDescent="0.25">
      <c r="A24" s="89" t="s">
        <v>10</v>
      </c>
      <c r="B24" s="33"/>
      <c r="C24" s="126"/>
      <c r="D24" s="90"/>
      <c r="E24" s="135"/>
      <c r="F24" s="90"/>
      <c r="G24" s="135"/>
      <c r="H24" s="90"/>
      <c r="I24" s="137"/>
      <c r="K24" s="199"/>
      <c r="L24" s="42"/>
      <c r="M24" s="33"/>
      <c r="N24" s="33"/>
      <c r="O24" s="33"/>
    </row>
    <row r="25" spans="1:15" hidden="1" x14ac:dyDescent="0.25">
      <c r="A25" s="147" t="s">
        <v>496</v>
      </c>
      <c r="B25" s="33" t="s">
        <v>53</v>
      </c>
      <c r="C25" s="91">
        <v>4575</v>
      </c>
      <c r="D25" s="90"/>
      <c r="E25" s="135"/>
      <c r="F25" s="90"/>
      <c r="G25" s="135"/>
      <c r="H25" s="90"/>
      <c r="I25" s="137"/>
      <c r="K25" s="199">
        <f t="shared" si="0"/>
        <v>0</v>
      </c>
      <c r="L25" s="42"/>
      <c r="M25" s="33"/>
      <c r="N25" s="33"/>
      <c r="O25" s="33"/>
    </row>
    <row r="26" spans="1:15" hidden="1" x14ac:dyDescent="0.25">
      <c r="A26" s="147" t="s">
        <v>497</v>
      </c>
      <c r="B26" s="33" t="s">
        <v>498</v>
      </c>
      <c r="C26" s="91">
        <v>0</v>
      </c>
      <c r="D26" s="90"/>
      <c r="E26" s="135"/>
      <c r="F26" s="90"/>
      <c r="G26" s="135"/>
      <c r="H26" s="90"/>
      <c r="I26" s="137"/>
      <c r="K26" s="199">
        <f t="shared" si="0"/>
        <v>0</v>
      </c>
      <c r="L26" s="42"/>
      <c r="M26" s="33"/>
      <c r="N26" s="33"/>
      <c r="O26" s="33"/>
    </row>
    <row r="27" spans="1:15" hidden="1" x14ac:dyDescent="0.25">
      <c r="A27" s="147" t="s">
        <v>499</v>
      </c>
      <c r="B27" s="33" t="s">
        <v>500</v>
      </c>
      <c r="C27" s="91">
        <v>666</v>
      </c>
      <c r="D27" s="90"/>
      <c r="E27" s="135"/>
      <c r="F27" s="90"/>
      <c r="G27" s="135"/>
      <c r="H27" s="90"/>
      <c r="I27" s="137"/>
      <c r="K27" s="199">
        <f t="shared" si="0"/>
        <v>0</v>
      </c>
      <c r="L27" s="42"/>
      <c r="M27" s="33"/>
      <c r="N27" s="33"/>
      <c r="O27" s="33"/>
    </row>
    <row r="28" spans="1:15" hidden="1" x14ac:dyDescent="0.25">
      <c r="A28" s="147" t="s">
        <v>501</v>
      </c>
      <c r="B28" s="33" t="s">
        <v>502</v>
      </c>
      <c r="C28" s="91">
        <v>5980</v>
      </c>
      <c r="D28" s="90"/>
      <c r="E28" s="135"/>
      <c r="F28" s="90"/>
      <c r="G28" s="135"/>
      <c r="H28" s="90"/>
      <c r="I28" s="137"/>
      <c r="K28" s="199">
        <f t="shared" si="0"/>
        <v>0</v>
      </c>
      <c r="L28" s="42"/>
      <c r="M28" s="33"/>
      <c r="N28" s="33"/>
      <c r="O28" s="33"/>
    </row>
    <row r="29" spans="1:15" x14ac:dyDescent="0.25">
      <c r="A29" s="147" t="s">
        <v>503</v>
      </c>
      <c r="B29" s="43">
        <v>811</v>
      </c>
      <c r="C29" s="91">
        <v>196</v>
      </c>
      <c r="D29" s="90">
        <v>300</v>
      </c>
      <c r="E29" s="135">
        <v>32.299999999999997</v>
      </c>
      <c r="F29" s="90">
        <v>100</v>
      </c>
      <c r="G29" s="135">
        <v>35.15</v>
      </c>
      <c r="H29" s="90">
        <v>100</v>
      </c>
      <c r="I29" s="137">
        <v>34.200000000000003</v>
      </c>
      <c r="J29" s="90">
        <v>100</v>
      </c>
      <c r="K29" s="199">
        <f t="shared" si="0"/>
        <v>100</v>
      </c>
      <c r="L29" s="42"/>
      <c r="M29" s="222">
        <v>100</v>
      </c>
      <c r="N29" s="222">
        <v>0</v>
      </c>
      <c r="O29" s="222">
        <f>M29</f>
        <v>100</v>
      </c>
    </row>
    <row r="30" spans="1:15" x14ac:dyDescent="0.25">
      <c r="A30" s="147" t="s">
        <v>506</v>
      </c>
      <c r="B30" s="33" t="s">
        <v>224</v>
      </c>
      <c r="C30" s="91">
        <v>5871</v>
      </c>
      <c r="D30" s="90">
        <v>10000</v>
      </c>
      <c r="E30" s="135">
        <v>9194.41</v>
      </c>
      <c r="F30" s="90">
        <v>7000</v>
      </c>
      <c r="G30" s="135">
        <v>8155.36</v>
      </c>
      <c r="H30" s="90">
        <v>7000</v>
      </c>
      <c r="I30" s="137">
        <v>2438</v>
      </c>
      <c r="J30" s="90">
        <v>5000</v>
      </c>
      <c r="K30" s="199">
        <f t="shared" si="0"/>
        <v>5000</v>
      </c>
      <c r="L30" s="42"/>
      <c r="M30" s="222">
        <v>5000</v>
      </c>
      <c r="N30" s="222">
        <v>0</v>
      </c>
      <c r="O30" s="222">
        <v>1500</v>
      </c>
    </row>
    <row r="31" spans="1:15" ht="16.5" thickBot="1" x14ac:dyDescent="0.3">
      <c r="A31" s="147" t="s">
        <v>504</v>
      </c>
      <c r="B31" s="33" t="s">
        <v>505</v>
      </c>
      <c r="C31" s="94">
        <v>966</v>
      </c>
      <c r="D31" s="123">
        <v>7000</v>
      </c>
      <c r="E31" s="142">
        <v>3871.93</v>
      </c>
      <c r="F31" s="123">
        <v>7000</v>
      </c>
      <c r="G31" s="142">
        <v>1864.33</v>
      </c>
      <c r="H31" s="123">
        <v>7000</v>
      </c>
      <c r="I31" s="144">
        <v>4720.5</v>
      </c>
      <c r="J31" s="123">
        <v>7000</v>
      </c>
      <c r="K31" s="200">
        <f t="shared" si="0"/>
        <v>7000</v>
      </c>
      <c r="L31" s="42"/>
      <c r="M31" s="223">
        <v>7000</v>
      </c>
      <c r="N31" s="223">
        <v>0</v>
      </c>
      <c r="O31" s="223">
        <v>3500</v>
      </c>
    </row>
    <row r="32" spans="1:15" x14ac:dyDescent="0.25">
      <c r="A32" s="33"/>
      <c r="B32" s="53" t="s">
        <v>218</v>
      </c>
      <c r="C32" s="91">
        <f>SUM(C25:C31)</f>
        <v>18254</v>
      </c>
      <c r="D32" s="91">
        <f>SUM(D25:D31)</f>
        <v>17300</v>
      </c>
      <c r="E32" s="127">
        <f>SUM(E29:E31)</f>
        <v>13098.64</v>
      </c>
      <c r="F32" s="91">
        <v>14100</v>
      </c>
      <c r="G32" s="127">
        <v>10054.84</v>
      </c>
      <c r="H32" s="91">
        <v>14100</v>
      </c>
      <c r="I32" s="58">
        <f t="shared" ref="I32" si="2">SUM(I25:I31)</f>
        <v>7192.7</v>
      </c>
      <c r="J32" s="91">
        <f t="shared" ref="J32:M32" si="3">SUM(J25:J31)</f>
        <v>12100</v>
      </c>
      <c r="K32" s="199">
        <f t="shared" si="0"/>
        <v>12100</v>
      </c>
      <c r="L32" s="42"/>
      <c r="M32" s="225">
        <f t="shared" si="3"/>
        <v>12100</v>
      </c>
      <c r="N32" s="225">
        <f>SUM(N29:N31)</f>
        <v>0</v>
      </c>
      <c r="O32" s="225">
        <f>SUM(O29:O31)</f>
        <v>5100</v>
      </c>
    </row>
    <row r="33" spans="1:15" x14ac:dyDescent="0.25">
      <c r="A33" s="33"/>
      <c r="B33" s="39"/>
      <c r="C33" s="91"/>
      <c r="D33" s="90"/>
      <c r="E33" s="135"/>
      <c r="F33" s="90"/>
      <c r="G33" s="135"/>
      <c r="H33" s="90"/>
      <c r="I33" s="137"/>
      <c r="J33" s="90"/>
      <c r="K33" s="199"/>
      <c r="L33" s="42"/>
      <c r="M33" s="33"/>
      <c r="N33" s="33"/>
      <c r="O33" s="33"/>
    </row>
    <row r="34" spans="1:15" x14ac:dyDescent="0.25">
      <c r="A34" s="89" t="s">
        <v>11</v>
      </c>
      <c r="B34" s="39"/>
      <c r="C34" s="91"/>
      <c r="D34" s="90"/>
      <c r="E34" s="135"/>
      <c r="F34" s="90"/>
      <c r="G34" s="135"/>
      <c r="H34" s="90"/>
      <c r="I34" s="137"/>
      <c r="J34" s="90"/>
      <c r="K34" s="199"/>
      <c r="L34" s="42"/>
      <c r="M34" s="33"/>
      <c r="N34" s="33"/>
      <c r="O34" s="33"/>
    </row>
    <row r="35" spans="1:15" x14ac:dyDescent="0.25">
      <c r="A35" s="147" t="s">
        <v>507</v>
      </c>
      <c r="B35" s="33" t="s">
        <v>420</v>
      </c>
      <c r="C35" s="91">
        <v>101551</v>
      </c>
      <c r="D35" s="90">
        <v>126000</v>
      </c>
      <c r="E35" s="135">
        <v>97658</v>
      </c>
      <c r="F35" s="90">
        <v>109200</v>
      </c>
      <c r="G35" s="135">
        <v>107543.51</v>
      </c>
      <c r="H35" s="90">
        <v>109200</v>
      </c>
      <c r="I35" s="137">
        <v>84634.48</v>
      </c>
      <c r="J35" s="90">
        <v>185640</v>
      </c>
      <c r="K35" s="199">
        <f t="shared" si="0"/>
        <v>185640</v>
      </c>
      <c r="L35" s="42"/>
      <c r="M35" s="222">
        <v>200000</v>
      </c>
      <c r="N35" s="222">
        <v>0</v>
      </c>
      <c r="O35" s="222">
        <f>M35</f>
        <v>200000</v>
      </c>
    </row>
    <row r="36" spans="1:15" x14ac:dyDescent="0.25">
      <c r="A36" s="147" t="s">
        <v>508</v>
      </c>
      <c r="B36" s="33" t="s">
        <v>509</v>
      </c>
      <c r="C36" s="91">
        <v>975.86</v>
      </c>
      <c r="D36" s="90">
        <v>1040</v>
      </c>
      <c r="E36" s="135">
        <v>880</v>
      </c>
      <c r="F36" s="90">
        <v>1040</v>
      </c>
      <c r="G36" s="135">
        <v>1077.8499999999999</v>
      </c>
      <c r="H36" s="90">
        <v>1040</v>
      </c>
      <c r="I36" s="137">
        <v>2197.85</v>
      </c>
      <c r="J36" s="90">
        <v>1200</v>
      </c>
      <c r="K36" s="199">
        <f t="shared" si="0"/>
        <v>1200</v>
      </c>
      <c r="L36" s="42"/>
      <c r="M36" s="222">
        <v>1200</v>
      </c>
      <c r="N36" s="222">
        <v>0</v>
      </c>
      <c r="O36" s="222">
        <f t="shared" ref="O36:O40" si="4">M36</f>
        <v>1200</v>
      </c>
    </row>
    <row r="37" spans="1:15" x14ac:dyDescent="0.25">
      <c r="A37" s="147" t="s">
        <v>510</v>
      </c>
      <c r="B37" s="33" t="s">
        <v>511</v>
      </c>
      <c r="C37" s="91">
        <v>32112</v>
      </c>
      <c r="D37" s="90">
        <v>45960</v>
      </c>
      <c r="E37" s="135">
        <v>0</v>
      </c>
      <c r="F37" s="90">
        <v>47422</v>
      </c>
      <c r="G37" s="135">
        <v>36522.730000000003</v>
      </c>
      <c r="H37" s="90">
        <v>47422</v>
      </c>
      <c r="I37" s="137">
        <v>20115.419999999998</v>
      </c>
      <c r="J37" s="90">
        <v>47422</v>
      </c>
      <c r="K37" s="199">
        <f t="shared" si="0"/>
        <v>47422</v>
      </c>
      <c r="L37" s="42"/>
      <c r="M37" s="222">
        <v>25000</v>
      </c>
      <c r="N37" s="222">
        <v>0</v>
      </c>
      <c r="O37" s="222">
        <f t="shared" si="4"/>
        <v>25000</v>
      </c>
    </row>
    <row r="38" spans="1:15" x14ac:dyDescent="0.25">
      <c r="A38" s="147" t="s">
        <v>512</v>
      </c>
      <c r="B38" s="33" t="s">
        <v>513</v>
      </c>
      <c r="C38" s="91">
        <v>263857</v>
      </c>
      <c r="D38" s="90">
        <v>245120</v>
      </c>
      <c r="E38" s="135">
        <v>0</v>
      </c>
      <c r="F38" s="90">
        <v>276074</v>
      </c>
      <c r="G38" s="135">
        <v>287510.52</v>
      </c>
      <c r="H38" s="90">
        <v>276074</v>
      </c>
      <c r="I38" s="137">
        <v>177779.42</v>
      </c>
      <c r="J38" s="90">
        <v>300000</v>
      </c>
      <c r="K38" s="199">
        <f t="shared" si="0"/>
        <v>300000</v>
      </c>
      <c r="L38" s="42"/>
      <c r="M38" s="222">
        <v>325000</v>
      </c>
      <c r="N38" s="222">
        <v>0</v>
      </c>
      <c r="O38" s="222">
        <f t="shared" si="4"/>
        <v>325000</v>
      </c>
    </row>
    <row r="39" spans="1:15" x14ac:dyDescent="0.25">
      <c r="A39" s="147" t="s">
        <v>514</v>
      </c>
      <c r="B39" s="43" t="s">
        <v>515</v>
      </c>
      <c r="C39" s="91">
        <v>0</v>
      </c>
      <c r="D39" s="90">
        <v>3000</v>
      </c>
      <c r="E39" s="135">
        <v>3000</v>
      </c>
      <c r="F39" s="90">
        <v>3000</v>
      </c>
      <c r="G39" s="135">
        <v>8124.76</v>
      </c>
      <c r="H39" s="90">
        <v>3000</v>
      </c>
      <c r="I39" s="137">
        <v>3211.2</v>
      </c>
      <c r="J39" s="90">
        <v>9000</v>
      </c>
      <c r="K39" s="199">
        <f t="shared" si="0"/>
        <v>9000</v>
      </c>
      <c r="L39" s="42"/>
      <c r="M39" s="222">
        <f>K39+(K39*'REVEN&amp;EXP - ALL FUNDS'!$E$5)</f>
        <v>9270</v>
      </c>
      <c r="N39" s="222">
        <v>0</v>
      </c>
      <c r="O39" s="222">
        <f t="shared" si="4"/>
        <v>9270</v>
      </c>
    </row>
    <row r="40" spans="1:15" ht="16.5" thickBot="1" x14ac:dyDescent="0.3">
      <c r="A40" s="147" t="s">
        <v>516</v>
      </c>
      <c r="B40" s="43" t="s">
        <v>517</v>
      </c>
      <c r="C40" s="94">
        <v>0</v>
      </c>
      <c r="D40" s="123">
        <v>0</v>
      </c>
      <c r="E40" s="142">
        <v>7684.96</v>
      </c>
      <c r="F40" s="123">
        <v>25800</v>
      </c>
      <c r="G40" s="142">
        <v>24686.2</v>
      </c>
      <c r="H40" s="123">
        <v>0</v>
      </c>
      <c r="I40" s="144">
        <v>0</v>
      </c>
      <c r="J40" s="123">
        <v>0</v>
      </c>
      <c r="K40" s="200">
        <f t="shared" si="0"/>
        <v>0</v>
      </c>
      <c r="L40" s="42"/>
      <c r="M40" s="223">
        <f>K40+(K40*'REVEN&amp;EXP - ALL FUNDS'!$E$5)</f>
        <v>0</v>
      </c>
      <c r="N40" s="223">
        <v>0</v>
      </c>
      <c r="O40" s="223">
        <f t="shared" si="4"/>
        <v>0</v>
      </c>
    </row>
    <row r="41" spans="1:15" x14ac:dyDescent="0.25">
      <c r="A41" s="33"/>
      <c r="B41" s="53" t="s">
        <v>322</v>
      </c>
      <c r="C41" s="91">
        <f>SUM(C35:C40)</f>
        <v>398495.86</v>
      </c>
      <c r="D41" s="91">
        <f t="shared" ref="D41" si="5">SUM(D35:D40)</f>
        <v>421120</v>
      </c>
      <c r="E41" s="127">
        <f>SUM(E35:E40)</f>
        <v>109222.96</v>
      </c>
      <c r="F41" s="91">
        <v>462536</v>
      </c>
      <c r="G41" s="127">
        <v>465465.57</v>
      </c>
      <c r="H41" s="91">
        <v>436736</v>
      </c>
      <c r="I41" s="58">
        <f t="shared" ref="I41" si="6">SUM(I35:I40)</f>
        <v>287938.37000000005</v>
      </c>
      <c r="J41" s="91">
        <f t="shared" ref="J41:M41" si="7">SUM(J35:J40)</f>
        <v>543262</v>
      </c>
      <c r="K41" s="199">
        <f t="shared" si="0"/>
        <v>543262</v>
      </c>
      <c r="L41" s="42"/>
      <c r="M41" s="225">
        <f t="shared" si="7"/>
        <v>560470</v>
      </c>
      <c r="N41" s="225">
        <f>SUM(N35:N40)</f>
        <v>0</v>
      </c>
      <c r="O41" s="225">
        <f>SUM(O35:O40)</f>
        <v>560470</v>
      </c>
    </row>
    <row r="42" spans="1:15" x14ac:dyDescent="0.25">
      <c r="A42" s="33"/>
      <c r="B42" s="53"/>
      <c r="C42" s="91"/>
      <c r="D42" s="90"/>
      <c r="E42" s="135"/>
      <c r="F42" s="90"/>
      <c r="G42" s="135"/>
      <c r="H42" s="90"/>
      <c r="I42" s="137"/>
      <c r="J42" s="90"/>
      <c r="K42" s="199"/>
      <c r="L42" s="42"/>
      <c r="M42" s="33"/>
      <c r="N42" s="33"/>
      <c r="O42" s="33"/>
    </row>
    <row r="43" spans="1:15" x14ac:dyDescent="0.25">
      <c r="A43" s="89" t="s">
        <v>518</v>
      </c>
      <c r="B43" s="33"/>
      <c r="C43" s="91"/>
      <c r="D43" s="90"/>
      <c r="E43" s="135"/>
      <c r="F43" s="90"/>
      <c r="G43" s="135"/>
      <c r="H43" s="90"/>
      <c r="I43" s="137"/>
      <c r="J43" s="90"/>
      <c r="K43" s="199"/>
      <c r="L43" s="42"/>
      <c r="M43" s="33"/>
      <c r="N43" s="33"/>
      <c r="O43" s="33"/>
    </row>
    <row r="44" spans="1:15" x14ac:dyDescent="0.25">
      <c r="A44" s="147" t="s">
        <v>519</v>
      </c>
      <c r="B44" s="33" t="s">
        <v>345</v>
      </c>
      <c r="C44" s="91">
        <v>4251</v>
      </c>
      <c r="D44" s="90">
        <v>3500</v>
      </c>
      <c r="E44" s="135">
        <f>493.52+1755.65</f>
        <v>2249.17</v>
      </c>
      <c r="F44" s="90">
        <v>3500</v>
      </c>
      <c r="G44" s="135">
        <v>3639.76</v>
      </c>
      <c r="H44" s="90">
        <v>3500</v>
      </c>
      <c r="I44" s="137">
        <v>15981.91</v>
      </c>
      <c r="J44" s="90">
        <v>5000</v>
      </c>
      <c r="K44" s="199">
        <f t="shared" si="0"/>
        <v>5000</v>
      </c>
      <c r="L44" s="42"/>
      <c r="M44" s="222">
        <v>16000</v>
      </c>
      <c r="N44" s="222">
        <v>0</v>
      </c>
      <c r="O44" s="222">
        <v>8000</v>
      </c>
    </row>
    <row r="45" spans="1:15" x14ac:dyDescent="0.25">
      <c r="A45" s="147" t="s">
        <v>520</v>
      </c>
      <c r="B45" s="33" t="s">
        <v>464</v>
      </c>
      <c r="C45" s="91"/>
      <c r="D45" s="90">
        <v>0</v>
      </c>
      <c r="E45" s="135"/>
      <c r="F45" s="90">
        <v>0</v>
      </c>
      <c r="G45" s="135">
        <v>296.2</v>
      </c>
      <c r="H45" s="90">
        <v>0</v>
      </c>
      <c r="I45" s="137">
        <v>0</v>
      </c>
      <c r="J45" s="90">
        <v>0</v>
      </c>
      <c r="K45" s="199">
        <f t="shared" si="0"/>
        <v>0</v>
      </c>
      <c r="L45" s="42"/>
      <c r="M45" s="222">
        <f>K45+(K45*'REVEN&amp;EXP - ALL FUNDS'!$E$5)</f>
        <v>0</v>
      </c>
      <c r="N45" s="222">
        <v>0</v>
      </c>
      <c r="O45" s="222">
        <f t="shared" ref="O45:O54" si="8">M45</f>
        <v>0</v>
      </c>
    </row>
    <row r="46" spans="1:15" x14ac:dyDescent="0.25">
      <c r="A46" s="147" t="s">
        <v>521</v>
      </c>
      <c r="B46" s="33" t="s">
        <v>263</v>
      </c>
      <c r="C46" s="91">
        <v>0</v>
      </c>
      <c r="D46" s="90">
        <v>0</v>
      </c>
      <c r="E46" s="135"/>
      <c r="F46" s="90">
        <v>300</v>
      </c>
      <c r="G46" s="135"/>
      <c r="H46" s="90">
        <v>300</v>
      </c>
      <c r="I46" s="137">
        <v>235</v>
      </c>
      <c r="J46" s="90">
        <v>0</v>
      </c>
      <c r="K46" s="199">
        <f t="shared" si="0"/>
        <v>0</v>
      </c>
      <c r="L46" s="42"/>
      <c r="M46" s="222">
        <f>K46+(K46*'REVEN&amp;EXP - ALL FUNDS'!$E$5)</f>
        <v>0</v>
      </c>
      <c r="N46" s="222">
        <v>0</v>
      </c>
      <c r="O46" s="222">
        <f t="shared" si="8"/>
        <v>0</v>
      </c>
    </row>
    <row r="47" spans="1:15" x14ac:dyDescent="0.25">
      <c r="A47" s="162" t="s">
        <v>522</v>
      </c>
      <c r="B47" s="43" t="s">
        <v>222</v>
      </c>
      <c r="C47" s="91">
        <f>(2694+550)</f>
        <v>3244</v>
      </c>
      <c r="D47" s="90">
        <v>8000</v>
      </c>
      <c r="E47" s="135">
        <v>5788.26</v>
      </c>
      <c r="F47" s="90">
        <v>4000</v>
      </c>
      <c r="G47" s="135">
        <v>3451.37</v>
      </c>
      <c r="H47" s="90">
        <v>4000</v>
      </c>
      <c r="I47" s="137">
        <v>2465.9299999999998</v>
      </c>
      <c r="J47" s="90">
        <v>4000</v>
      </c>
      <c r="K47" s="199">
        <f t="shared" si="0"/>
        <v>4000</v>
      </c>
      <c r="L47" s="42"/>
      <c r="M47" s="222">
        <f>K47+(K47*'REVEN&amp;EXP - ALL FUNDS'!$E$5)</f>
        <v>4120</v>
      </c>
      <c r="N47" s="222">
        <v>0</v>
      </c>
      <c r="O47" s="222">
        <f t="shared" si="8"/>
        <v>4120</v>
      </c>
    </row>
    <row r="48" spans="1:15" hidden="1" x14ac:dyDescent="0.25">
      <c r="A48" s="150" t="s">
        <v>523</v>
      </c>
      <c r="B48" s="57" t="s">
        <v>468</v>
      </c>
      <c r="C48" s="127">
        <v>0</v>
      </c>
      <c r="D48" s="135">
        <v>0</v>
      </c>
      <c r="E48" s="135"/>
      <c r="F48" s="135"/>
      <c r="G48" s="135"/>
      <c r="H48" s="135"/>
      <c r="I48" s="137"/>
      <c r="J48" s="90">
        <v>0</v>
      </c>
      <c r="K48" s="199">
        <f t="shared" si="0"/>
        <v>0</v>
      </c>
      <c r="L48" s="42"/>
      <c r="M48" s="222">
        <f>K48+(K48*'REVEN&amp;EXP - ALL FUNDS'!$E$5)</f>
        <v>0</v>
      </c>
      <c r="N48" s="222">
        <v>0</v>
      </c>
      <c r="O48" s="222">
        <f t="shared" si="8"/>
        <v>0</v>
      </c>
    </row>
    <row r="49" spans="1:15" x14ac:dyDescent="0.25">
      <c r="A49" s="147" t="s">
        <v>524</v>
      </c>
      <c r="B49" s="33" t="s">
        <v>525</v>
      </c>
      <c r="C49" s="91">
        <v>6979</v>
      </c>
      <c r="D49" s="90">
        <v>4500</v>
      </c>
      <c r="E49" s="135">
        <v>4615.3999999999996</v>
      </c>
      <c r="F49" s="90">
        <v>4500</v>
      </c>
      <c r="G49" s="135">
        <v>8435.9500000000007</v>
      </c>
      <c r="H49" s="90">
        <v>4500</v>
      </c>
      <c r="I49" s="137">
        <v>23499.96</v>
      </c>
      <c r="J49" s="90">
        <v>5000</v>
      </c>
      <c r="K49" s="199">
        <f t="shared" si="0"/>
        <v>5000</v>
      </c>
      <c r="L49" s="42"/>
      <c r="M49" s="222">
        <v>8000</v>
      </c>
      <c r="N49" s="222">
        <v>0</v>
      </c>
      <c r="O49" s="222">
        <f t="shared" si="8"/>
        <v>8000</v>
      </c>
    </row>
    <row r="50" spans="1:15" x14ac:dyDescent="0.25">
      <c r="A50" s="147" t="s">
        <v>526</v>
      </c>
      <c r="B50" s="33" t="s">
        <v>527</v>
      </c>
      <c r="C50" s="91">
        <v>3789</v>
      </c>
      <c r="D50" s="90">
        <v>6000</v>
      </c>
      <c r="E50" s="135">
        <f>899.11+28</f>
        <v>927.11</v>
      </c>
      <c r="F50" s="90">
        <v>5000</v>
      </c>
      <c r="G50" s="135">
        <v>5373.13</v>
      </c>
      <c r="H50" s="90">
        <v>5000</v>
      </c>
      <c r="I50" s="137">
        <v>1368.46</v>
      </c>
      <c r="J50" s="90">
        <v>5000</v>
      </c>
      <c r="K50" s="199">
        <f t="shared" si="0"/>
        <v>5000</v>
      </c>
      <c r="L50" s="42"/>
      <c r="M50" s="222">
        <f>K50+(K50*'REVEN&amp;EXP - ALL FUNDS'!$E$5)</f>
        <v>5150</v>
      </c>
      <c r="N50" s="222">
        <v>0</v>
      </c>
      <c r="O50" s="222">
        <f t="shared" si="8"/>
        <v>5150</v>
      </c>
    </row>
    <row r="51" spans="1:15" x14ac:dyDescent="0.25">
      <c r="A51" s="147" t="s">
        <v>528</v>
      </c>
      <c r="B51" s="33" t="s">
        <v>353</v>
      </c>
      <c r="C51" s="91">
        <v>9262</v>
      </c>
      <c r="D51" s="90">
        <v>10000</v>
      </c>
      <c r="E51" s="135">
        <v>3817.25</v>
      </c>
      <c r="F51" s="90">
        <v>10000</v>
      </c>
      <c r="G51" s="135">
        <v>3631.19</v>
      </c>
      <c r="H51" s="90">
        <v>10000</v>
      </c>
      <c r="I51" s="137">
        <v>2604.1799999999998</v>
      </c>
      <c r="J51" s="90">
        <v>7500</v>
      </c>
      <c r="K51" s="199">
        <f t="shared" si="0"/>
        <v>7500</v>
      </c>
      <c r="L51" s="42"/>
      <c r="M51" s="222">
        <v>13500</v>
      </c>
      <c r="N51" s="222">
        <v>0</v>
      </c>
      <c r="O51" s="222">
        <v>7725</v>
      </c>
    </row>
    <row r="52" spans="1:15" x14ac:dyDescent="0.25">
      <c r="A52" s="147" t="s">
        <v>529</v>
      </c>
      <c r="B52" s="33" t="s">
        <v>316</v>
      </c>
      <c r="C52" s="91">
        <v>2607</v>
      </c>
      <c r="D52" s="90">
        <v>3000</v>
      </c>
      <c r="E52" s="135">
        <v>0</v>
      </c>
      <c r="F52" s="90">
        <v>3000</v>
      </c>
      <c r="G52" s="135">
        <v>6449.38</v>
      </c>
      <c r="H52" s="90">
        <v>3000</v>
      </c>
      <c r="I52" s="137">
        <v>4241.99</v>
      </c>
      <c r="J52" s="90">
        <v>6000</v>
      </c>
      <c r="K52" s="199">
        <f t="shared" si="0"/>
        <v>6000</v>
      </c>
      <c r="L52" s="42"/>
      <c r="M52" s="222">
        <f>K52+(K52*'REVEN&amp;EXP - ALL FUNDS'!$E$5)</f>
        <v>6180</v>
      </c>
      <c r="N52" s="222">
        <v>0</v>
      </c>
      <c r="O52" s="222">
        <v>14000</v>
      </c>
    </row>
    <row r="53" spans="1:15" x14ac:dyDescent="0.25">
      <c r="A53" s="147" t="s">
        <v>530</v>
      </c>
      <c r="B53" s="33" t="s">
        <v>531</v>
      </c>
      <c r="C53" s="91">
        <v>18132</v>
      </c>
      <c r="D53" s="90">
        <v>12000</v>
      </c>
      <c r="E53" s="135">
        <v>22892.11</v>
      </c>
      <c r="F53" s="90">
        <v>23000</v>
      </c>
      <c r="G53" s="135">
        <v>22039.85</v>
      </c>
      <c r="H53" s="90">
        <v>23000</v>
      </c>
      <c r="I53" s="137">
        <v>10155.73</v>
      </c>
      <c r="J53" s="90">
        <v>23000</v>
      </c>
      <c r="K53" s="199">
        <f t="shared" si="0"/>
        <v>23000</v>
      </c>
      <c r="L53" s="42"/>
      <c r="M53" s="222">
        <f>K53+(K53*'REVEN&amp;EXP - ALL FUNDS'!$E$5)</f>
        <v>23690</v>
      </c>
      <c r="N53" s="222">
        <v>0</v>
      </c>
      <c r="O53" s="222">
        <f t="shared" si="8"/>
        <v>23690</v>
      </c>
    </row>
    <row r="54" spans="1:15" x14ac:dyDescent="0.25">
      <c r="A54" s="147" t="s">
        <v>532</v>
      </c>
      <c r="B54" s="33" t="s">
        <v>533</v>
      </c>
      <c r="C54" s="91">
        <v>1896</v>
      </c>
      <c r="D54" s="90">
        <v>2000</v>
      </c>
      <c r="E54" s="135">
        <v>3670.83</v>
      </c>
      <c r="F54" s="90">
        <v>4500</v>
      </c>
      <c r="G54" s="135">
        <v>2591.08</v>
      </c>
      <c r="H54" s="90">
        <v>4500</v>
      </c>
      <c r="I54" s="137">
        <v>1593.75</v>
      </c>
      <c r="J54" s="90">
        <v>3000</v>
      </c>
      <c r="K54" s="199">
        <f t="shared" si="0"/>
        <v>3000</v>
      </c>
      <c r="L54" s="42"/>
      <c r="M54" s="222">
        <f>K54+(K54*'REVEN&amp;EXP - ALL FUNDS'!$E$5)</f>
        <v>3090</v>
      </c>
      <c r="N54" s="222">
        <v>0</v>
      </c>
      <c r="O54" s="222">
        <f t="shared" si="8"/>
        <v>3090</v>
      </c>
    </row>
    <row r="55" spans="1:15" ht="16.5" thickBot="1" x14ac:dyDescent="0.3">
      <c r="A55" s="147" t="s">
        <v>534</v>
      </c>
      <c r="B55" s="33" t="s">
        <v>535</v>
      </c>
      <c r="C55" s="91">
        <v>33086</v>
      </c>
      <c r="D55" s="90">
        <f>41000+21000</f>
        <v>62000</v>
      </c>
      <c r="E55" s="135">
        <f>18740.25+5770.89</f>
        <v>24511.14</v>
      </c>
      <c r="F55" s="123">
        <v>77000</v>
      </c>
      <c r="G55" s="142">
        <v>41232.92</v>
      </c>
      <c r="H55" s="123">
        <v>77000</v>
      </c>
      <c r="I55" s="133">
        <v>120838.01</v>
      </c>
      <c r="J55" s="123">
        <v>80000</v>
      </c>
      <c r="K55" s="200">
        <f t="shared" si="0"/>
        <v>80000</v>
      </c>
      <c r="L55" s="105"/>
      <c r="M55" s="223">
        <f>K55+(K55*'REVEN&amp;EXP - ALL FUNDS'!$E$5)</f>
        <v>82400</v>
      </c>
      <c r="N55" s="223">
        <v>0</v>
      </c>
      <c r="O55" s="223">
        <v>50000</v>
      </c>
    </row>
    <row r="56" spans="1:15" ht="16.5" hidden="1" thickBot="1" x14ac:dyDescent="0.3">
      <c r="A56" s="147" t="s">
        <v>536</v>
      </c>
      <c r="B56" s="33" t="s">
        <v>625</v>
      </c>
      <c r="C56" s="94">
        <v>13707</v>
      </c>
      <c r="D56" s="123">
        <v>0</v>
      </c>
      <c r="E56" s="142">
        <v>0</v>
      </c>
      <c r="F56" s="123">
        <v>0</v>
      </c>
      <c r="G56" s="142"/>
      <c r="H56" s="123">
        <v>0</v>
      </c>
      <c r="I56" s="144"/>
      <c r="J56" s="123"/>
      <c r="K56" s="199">
        <f t="shared" si="0"/>
        <v>0</v>
      </c>
      <c r="L56" s="42"/>
      <c r="M56" s="222"/>
      <c r="N56" s="222"/>
      <c r="O56" s="222"/>
    </row>
    <row r="57" spans="1:15" x14ac:dyDescent="0.25">
      <c r="A57" s="277" t="s">
        <v>227</v>
      </c>
      <c r="B57" s="277"/>
      <c r="C57" s="91">
        <f>SUM(C44:C56)</f>
        <v>96953</v>
      </c>
      <c r="D57" s="91">
        <f>SUM(D44:D56)</f>
        <v>111000</v>
      </c>
      <c r="E57" s="127">
        <f>SUM(E44:E56)</f>
        <v>68471.27</v>
      </c>
      <c r="F57" s="91">
        <v>134800</v>
      </c>
      <c r="G57" s="127">
        <v>97140.83</v>
      </c>
      <c r="H57" s="91">
        <v>134800</v>
      </c>
      <c r="I57" s="58">
        <f>SUM(I44:I56)</f>
        <v>182984.91999999998</v>
      </c>
      <c r="J57" s="91">
        <f>SUM(J44:J56)</f>
        <v>138500</v>
      </c>
      <c r="K57" s="199">
        <f t="shared" si="0"/>
        <v>138500</v>
      </c>
      <c r="L57" s="42"/>
      <c r="M57" s="225">
        <f>SUM(M44:M56)</f>
        <v>162130</v>
      </c>
      <c r="N57" s="225">
        <f>SUM(N44:N56)</f>
        <v>0</v>
      </c>
      <c r="O57" s="225">
        <f>SUM(O44:O55)</f>
        <v>123775</v>
      </c>
    </row>
    <row r="58" spans="1:15" x14ac:dyDescent="0.25">
      <c r="A58" s="53"/>
      <c r="B58" s="53"/>
      <c r="C58" s="91"/>
      <c r="D58" s="90"/>
      <c r="E58" s="135"/>
      <c r="F58" s="90"/>
      <c r="G58" s="135"/>
      <c r="H58" s="90"/>
      <c r="I58" s="137"/>
      <c r="J58" s="90"/>
      <c r="K58" s="199"/>
      <c r="L58" s="42"/>
      <c r="M58" s="33"/>
      <c r="N58" s="33"/>
      <c r="O58" s="33"/>
    </row>
    <row r="59" spans="1:15" x14ac:dyDescent="0.25">
      <c r="A59" s="278" t="s">
        <v>15</v>
      </c>
      <c r="B59" s="278"/>
      <c r="C59" s="91"/>
      <c r="D59" s="90"/>
      <c r="E59" s="135"/>
      <c r="F59" s="90"/>
      <c r="G59" s="135"/>
      <c r="H59" s="90"/>
      <c r="I59" s="137"/>
      <c r="J59" s="90"/>
      <c r="K59" s="199"/>
      <c r="L59" s="42"/>
      <c r="M59" s="33"/>
      <c r="N59" s="33"/>
      <c r="O59" s="33"/>
    </row>
    <row r="60" spans="1:15" ht="16.5" thickBot="1" x14ac:dyDescent="0.3">
      <c r="A60" s="162" t="s">
        <v>537</v>
      </c>
      <c r="B60" s="43" t="s">
        <v>538</v>
      </c>
      <c r="C60" s="94">
        <v>4223</v>
      </c>
      <c r="D60" s="123">
        <v>8325</v>
      </c>
      <c r="E60" s="142">
        <v>0</v>
      </c>
      <c r="F60" s="123">
        <v>8325</v>
      </c>
      <c r="G60" s="142">
        <v>12209.1</v>
      </c>
      <c r="H60" s="123">
        <v>8325</v>
      </c>
      <c r="I60" s="144">
        <v>13269.37</v>
      </c>
      <c r="J60" s="123">
        <v>13000</v>
      </c>
      <c r="K60" s="200">
        <f t="shared" si="0"/>
        <v>13000</v>
      </c>
      <c r="L60" s="42"/>
      <c r="M60" s="223">
        <f>K60+(K60*'REVEN&amp;EXP - ALL FUNDS'!$E$5)</f>
        <v>13390</v>
      </c>
      <c r="N60" s="223">
        <v>0</v>
      </c>
      <c r="O60" s="223">
        <v>35000</v>
      </c>
    </row>
    <row r="61" spans="1:15" x14ac:dyDescent="0.25">
      <c r="A61" s="53"/>
      <c r="B61" s="53" t="s">
        <v>539</v>
      </c>
      <c r="C61" s="91">
        <f>SUM(C60)</f>
        <v>4223</v>
      </c>
      <c r="D61" s="91">
        <f t="shared" ref="D61" si="9">SUM(D60)</f>
        <v>8325</v>
      </c>
      <c r="E61" s="127">
        <f>+E60</f>
        <v>0</v>
      </c>
      <c r="F61" s="91">
        <v>8325</v>
      </c>
      <c r="G61" s="127">
        <v>12209.1</v>
      </c>
      <c r="H61" s="91">
        <v>8325</v>
      </c>
      <c r="I61" s="58">
        <f t="shared" ref="I61" si="10">SUM(I60)</f>
        <v>13269.37</v>
      </c>
      <c r="J61" s="91">
        <f t="shared" ref="J61:M61" si="11">SUM(J60)</f>
        <v>13000</v>
      </c>
      <c r="K61" s="199">
        <f t="shared" si="0"/>
        <v>13000</v>
      </c>
      <c r="L61" s="42"/>
      <c r="M61" s="225">
        <f t="shared" si="11"/>
        <v>13390</v>
      </c>
      <c r="N61" s="225">
        <f>SUM(N60)</f>
        <v>0</v>
      </c>
      <c r="O61" s="225">
        <f>SUM(O60)</f>
        <v>35000</v>
      </c>
    </row>
    <row r="62" spans="1:15" x14ac:dyDescent="0.25">
      <c r="A62" s="53"/>
      <c r="B62" s="53"/>
      <c r="C62" s="91"/>
      <c r="D62" s="90"/>
      <c r="E62" s="135"/>
      <c r="F62" s="90"/>
      <c r="G62" s="135"/>
      <c r="H62" s="90"/>
      <c r="I62" s="137"/>
      <c r="J62" s="90"/>
      <c r="K62" s="199"/>
      <c r="L62" s="42"/>
      <c r="M62" s="222"/>
      <c r="N62" s="222"/>
      <c r="O62" s="222"/>
    </row>
    <row r="63" spans="1:15" ht="16.5" hidden="1" thickBot="1" x14ac:dyDescent="0.3">
      <c r="A63" s="79" t="s">
        <v>13</v>
      </c>
      <c r="B63" s="33"/>
      <c r="C63" s="33"/>
      <c r="D63" s="90"/>
      <c r="E63" s="135"/>
      <c r="F63" s="90"/>
      <c r="G63" s="135"/>
      <c r="H63" s="90"/>
      <c r="I63" s="137"/>
      <c r="J63" s="90"/>
      <c r="K63" s="199">
        <f t="shared" si="0"/>
        <v>0</v>
      </c>
      <c r="L63" s="42"/>
      <c r="M63" s="33"/>
      <c r="N63" s="33"/>
      <c r="O63" s="33"/>
    </row>
    <row r="64" spans="1:15" hidden="1" x14ac:dyDescent="0.25">
      <c r="A64" s="150" t="s">
        <v>540</v>
      </c>
      <c r="B64" s="57" t="s">
        <v>229</v>
      </c>
      <c r="C64" s="127">
        <v>0</v>
      </c>
      <c r="D64" s="135">
        <v>0</v>
      </c>
      <c r="E64" s="135"/>
      <c r="F64" s="135"/>
      <c r="G64" s="135"/>
      <c r="H64" s="135"/>
      <c r="I64" s="137"/>
      <c r="J64" s="135"/>
      <c r="K64" s="199">
        <f t="shared" si="0"/>
        <v>0</v>
      </c>
      <c r="L64" s="42"/>
      <c r="M64" s="33"/>
      <c r="N64" s="33"/>
      <c r="O64" s="33"/>
    </row>
    <row r="65" spans="1:34" hidden="1" x14ac:dyDescent="0.25">
      <c r="A65" s="150" t="s">
        <v>541</v>
      </c>
      <c r="B65" s="57" t="s">
        <v>231</v>
      </c>
      <c r="C65" s="127">
        <v>0</v>
      </c>
      <c r="D65" s="135">
        <v>0</v>
      </c>
      <c r="E65" s="135"/>
      <c r="F65" s="135"/>
      <c r="G65" s="135"/>
      <c r="H65" s="135"/>
      <c r="I65" s="137"/>
      <c r="J65" s="135"/>
      <c r="K65" s="199">
        <f t="shared" si="0"/>
        <v>0</v>
      </c>
      <c r="L65" s="42"/>
      <c r="M65" s="33"/>
      <c r="N65" s="33"/>
      <c r="O65" s="33"/>
    </row>
    <row r="66" spans="1:34" hidden="1" x14ac:dyDescent="0.25">
      <c r="A66" s="150" t="s">
        <v>542</v>
      </c>
      <c r="B66" s="57" t="s">
        <v>233</v>
      </c>
      <c r="C66" s="127">
        <v>258</v>
      </c>
      <c r="D66" s="135">
        <v>0</v>
      </c>
      <c r="E66" s="135"/>
      <c r="F66" s="135"/>
      <c r="G66" s="135"/>
      <c r="H66" s="135"/>
      <c r="I66" s="137"/>
      <c r="J66" s="135"/>
      <c r="K66" s="199">
        <f t="shared" si="0"/>
        <v>0</v>
      </c>
      <c r="L66" s="42"/>
      <c r="M66" s="33"/>
      <c r="N66" s="33"/>
      <c r="O66" s="33"/>
    </row>
    <row r="67" spans="1:34" ht="16.5" hidden="1" thickBot="1" x14ac:dyDescent="0.3">
      <c r="A67" s="150" t="s">
        <v>543</v>
      </c>
      <c r="B67" s="57" t="s">
        <v>235</v>
      </c>
      <c r="C67" s="151">
        <v>1618</v>
      </c>
      <c r="D67" s="142">
        <v>0</v>
      </c>
      <c r="E67" s="142"/>
      <c r="F67" s="142"/>
      <c r="G67" s="142"/>
      <c r="H67" s="142"/>
      <c r="I67" s="144"/>
      <c r="J67" s="142"/>
      <c r="K67" s="199">
        <f t="shared" si="0"/>
        <v>0</v>
      </c>
      <c r="L67" s="42"/>
      <c r="M67" s="33"/>
      <c r="N67" s="33"/>
      <c r="O67" s="33"/>
    </row>
    <row r="68" spans="1:34" hidden="1" x14ac:dyDescent="0.25">
      <c r="A68" s="33"/>
      <c r="B68" s="53" t="s">
        <v>236</v>
      </c>
      <c r="C68" s="91">
        <f>SUM(C64:C67)</f>
        <v>1876</v>
      </c>
      <c r="D68" s="90">
        <f t="shared" ref="D68" si="12">SUM(D64:D67)</f>
        <v>0</v>
      </c>
      <c r="E68" s="135"/>
      <c r="F68" s="90">
        <v>0</v>
      </c>
      <c r="G68" s="135">
        <v>0</v>
      </c>
      <c r="H68" s="90">
        <v>0</v>
      </c>
      <c r="I68" s="137">
        <f t="shared" ref="I68" si="13">SUM(I64:I67)</f>
        <v>0</v>
      </c>
      <c r="J68" s="90">
        <f t="shared" ref="J68" si="14">SUM(J64:J67)</f>
        <v>0</v>
      </c>
      <c r="K68" s="199">
        <f t="shared" si="0"/>
        <v>0</v>
      </c>
      <c r="L68" s="42"/>
      <c r="M68" s="33"/>
      <c r="N68" s="33"/>
      <c r="O68" s="33"/>
    </row>
    <row r="69" spans="1:34" hidden="1" x14ac:dyDescent="0.25">
      <c r="A69" s="33"/>
      <c r="B69" s="53"/>
      <c r="C69" s="91"/>
      <c r="D69" s="90"/>
      <c r="E69" s="135"/>
      <c r="F69" s="90"/>
      <c r="G69" s="135"/>
      <c r="H69" s="90"/>
      <c r="I69" s="137"/>
      <c r="J69" s="90"/>
      <c r="K69" s="199">
        <f t="shared" si="0"/>
        <v>0</v>
      </c>
      <c r="L69" s="42"/>
      <c r="M69" s="33"/>
      <c r="N69" s="33"/>
      <c r="O69" s="33"/>
    </row>
    <row r="70" spans="1:34" hidden="1" x14ac:dyDescent="0.25">
      <c r="A70" s="89" t="s">
        <v>14</v>
      </c>
      <c r="B70" s="53"/>
      <c r="C70" s="91"/>
      <c r="D70" s="90"/>
      <c r="E70" s="135"/>
      <c r="F70" s="90"/>
      <c r="G70" s="135"/>
      <c r="H70" s="90"/>
      <c r="I70" s="137"/>
      <c r="J70" s="90"/>
      <c r="K70" s="199">
        <f t="shared" si="0"/>
        <v>0</v>
      </c>
      <c r="L70" s="42"/>
      <c r="M70" s="33"/>
      <c r="N70" s="33"/>
      <c r="O70" s="33"/>
    </row>
    <row r="71" spans="1:34" hidden="1" x14ac:dyDescent="0.25">
      <c r="A71" s="150" t="s">
        <v>544</v>
      </c>
      <c r="B71" s="152" t="s">
        <v>238</v>
      </c>
      <c r="C71" s="127">
        <v>3476</v>
      </c>
      <c r="D71" s="135">
        <v>0</v>
      </c>
      <c r="E71" s="135"/>
      <c r="F71" s="135"/>
      <c r="G71" s="135"/>
      <c r="H71" s="135"/>
      <c r="I71" s="137"/>
      <c r="J71" s="135"/>
      <c r="K71" s="199">
        <f t="shared" si="0"/>
        <v>0</v>
      </c>
      <c r="L71" s="42"/>
      <c r="M71" s="33"/>
      <c r="N71" s="33"/>
      <c r="O71" s="33"/>
    </row>
    <row r="72" spans="1:34" ht="16.5" hidden="1" thickBot="1" x14ac:dyDescent="0.3">
      <c r="A72" s="150" t="s">
        <v>545</v>
      </c>
      <c r="B72" s="57" t="s">
        <v>240</v>
      </c>
      <c r="C72" s="151">
        <v>3806</v>
      </c>
      <c r="D72" s="142">
        <v>0</v>
      </c>
      <c r="E72" s="142"/>
      <c r="F72" s="142"/>
      <c r="G72" s="142"/>
      <c r="H72" s="142"/>
      <c r="I72" s="144"/>
      <c r="J72" s="142"/>
      <c r="K72" s="199">
        <f t="shared" si="0"/>
        <v>0</v>
      </c>
      <c r="L72" s="42"/>
      <c r="M72" s="33"/>
      <c r="N72" s="33"/>
      <c r="O72" s="33"/>
    </row>
    <row r="73" spans="1:34" hidden="1" x14ac:dyDescent="0.25">
      <c r="A73" s="33"/>
      <c r="B73" s="33" t="s">
        <v>241</v>
      </c>
      <c r="C73" s="91">
        <f>SUM(C71:C72)</f>
        <v>7282</v>
      </c>
      <c r="D73" s="90">
        <f t="shared" ref="D73" si="15">SUM(D71:D72)</f>
        <v>0</v>
      </c>
      <c r="E73" s="135"/>
      <c r="F73" s="90">
        <v>0</v>
      </c>
      <c r="G73" s="135">
        <v>0</v>
      </c>
      <c r="H73" s="90">
        <v>0</v>
      </c>
      <c r="I73" s="137">
        <f t="shared" ref="I73" si="16">SUM(I71:I72)</f>
        <v>0</v>
      </c>
      <c r="J73" s="90">
        <f t="shared" ref="J73" si="17">SUM(J71:J72)</f>
        <v>0</v>
      </c>
      <c r="K73" s="199">
        <f t="shared" si="0"/>
        <v>0</v>
      </c>
      <c r="L73" s="42"/>
      <c r="M73" s="33"/>
      <c r="N73" s="33"/>
      <c r="O73" s="33"/>
    </row>
    <row r="74" spans="1:34" hidden="1" x14ac:dyDescent="0.25">
      <c r="A74" s="53"/>
      <c r="B74" s="53"/>
      <c r="C74" s="91"/>
      <c r="D74" s="90"/>
      <c r="E74" s="135"/>
      <c r="F74" s="90"/>
      <c r="G74" s="135"/>
      <c r="H74" s="90"/>
      <c r="I74" s="137"/>
      <c r="J74" s="90"/>
      <c r="K74" s="199">
        <f t="shared" si="0"/>
        <v>0</v>
      </c>
      <c r="L74" s="42"/>
      <c r="M74" s="33"/>
      <c r="N74" s="33"/>
      <c r="O74" s="33"/>
    </row>
    <row r="75" spans="1:34" hidden="1" x14ac:dyDescent="0.25">
      <c r="A75" s="132" t="s">
        <v>177</v>
      </c>
      <c r="B75" s="53"/>
      <c r="C75" s="91"/>
      <c r="D75" s="90"/>
      <c r="E75" s="135"/>
      <c r="F75" s="90"/>
      <c r="G75" s="135"/>
      <c r="H75" s="90"/>
      <c r="I75" s="137"/>
      <c r="J75" s="90"/>
      <c r="K75" s="199">
        <f t="shared" si="0"/>
        <v>0</v>
      </c>
      <c r="L75" s="42"/>
      <c r="M75" s="33"/>
      <c r="N75" s="33"/>
      <c r="O75" s="33"/>
    </row>
    <row r="76" spans="1:34" ht="16.5" hidden="1" thickBot="1" x14ac:dyDescent="0.3">
      <c r="A76" s="173" t="s">
        <v>546</v>
      </c>
      <c r="B76" s="174" t="s">
        <v>547</v>
      </c>
      <c r="C76" s="151">
        <v>0</v>
      </c>
      <c r="D76" s="142">
        <v>0</v>
      </c>
      <c r="E76" s="142"/>
      <c r="F76" s="142">
        <v>0</v>
      </c>
      <c r="G76" s="142">
        <v>0</v>
      </c>
      <c r="H76" s="142"/>
      <c r="I76" s="144"/>
      <c r="J76" s="142"/>
      <c r="K76" s="199">
        <f t="shared" ref="K76:K81" si="18">J76</f>
        <v>0</v>
      </c>
      <c r="L76" s="42"/>
      <c r="M76" s="33"/>
      <c r="N76" s="33"/>
      <c r="O76" s="33"/>
    </row>
    <row r="77" spans="1:34" hidden="1" x14ac:dyDescent="0.25">
      <c r="A77" s="175"/>
      <c r="B77" s="176" t="s">
        <v>548</v>
      </c>
      <c r="C77" s="91">
        <f>SUM(C76)</f>
        <v>0</v>
      </c>
      <c r="D77" s="90">
        <f t="shared" ref="D77" si="19">SUM(D76)</f>
        <v>0</v>
      </c>
      <c r="E77" s="135"/>
      <c r="F77" s="90">
        <v>0</v>
      </c>
      <c r="G77" s="135">
        <v>0</v>
      </c>
      <c r="H77" s="90">
        <v>0</v>
      </c>
      <c r="I77" s="137">
        <f t="shared" ref="I77" si="20">SUM(I76)</f>
        <v>0</v>
      </c>
      <c r="J77" s="90">
        <f t="shared" ref="J77" si="21">SUM(J76)</f>
        <v>0</v>
      </c>
      <c r="K77" s="199">
        <f t="shared" si="18"/>
        <v>0</v>
      </c>
      <c r="L77" s="42"/>
      <c r="M77" s="33"/>
      <c r="N77" s="33"/>
      <c r="O77" s="33"/>
    </row>
    <row r="78" spans="1:34" hidden="1" x14ac:dyDescent="0.25">
      <c r="A78" s="175"/>
      <c r="B78" s="175"/>
      <c r="C78" s="91"/>
      <c r="D78" s="90"/>
      <c r="E78" s="135"/>
      <c r="F78" s="90"/>
      <c r="G78" s="135"/>
      <c r="H78" s="90"/>
      <c r="I78" s="137"/>
      <c r="J78" s="90"/>
      <c r="K78" s="199">
        <f t="shared" si="18"/>
        <v>0</v>
      </c>
      <c r="L78" s="42"/>
      <c r="M78" s="33"/>
      <c r="N78" s="33"/>
      <c r="O78" s="33"/>
    </row>
    <row r="79" spans="1:34" x14ac:dyDescent="0.25">
      <c r="A79" s="278" t="s">
        <v>323</v>
      </c>
      <c r="B79" s="278"/>
      <c r="C79" s="91"/>
      <c r="D79" s="90"/>
      <c r="E79" s="135"/>
      <c r="F79" s="90"/>
      <c r="G79" s="135"/>
      <c r="H79" s="90"/>
      <c r="I79" s="137"/>
      <c r="J79" s="90"/>
      <c r="K79" s="199"/>
      <c r="L79" s="42"/>
      <c r="M79" s="33"/>
      <c r="N79" s="33"/>
      <c r="O79" s="33"/>
    </row>
    <row r="80" spans="1:34" ht="16.5" thickBot="1" x14ac:dyDescent="0.3">
      <c r="A80" s="162" t="s">
        <v>549</v>
      </c>
      <c r="B80" s="43" t="s">
        <v>706</v>
      </c>
      <c r="C80" s="94">
        <v>0</v>
      </c>
      <c r="D80" s="123">
        <v>0</v>
      </c>
      <c r="E80" s="142">
        <v>0</v>
      </c>
      <c r="F80" s="90">
        <v>4900</v>
      </c>
      <c r="G80" s="135">
        <v>0</v>
      </c>
      <c r="H80" s="90">
        <v>0</v>
      </c>
      <c r="I80" s="137">
        <v>0</v>
      </c>
      <c r="J80" s="90">
        <v>0</v>
      </c>
      <c r="K80" s="199">
        <f t="shared" si="18"/>
        <v>0</v>
      </c>
      <c r="L80" s="42"/>
      <c r="M80" s="130">
        <f>K80+(K80*'REVEN&amp;EXP - ALL FUNDS'!$E$5)</f>
        <v>0</v>
      </c>
      <c r="N80" s="130">
        <v>0</v>
      </c>
      <c r="O80" s="130">
        <v>36252</v>
      </c>
      <c r="P80" s="268"/>
      <c r="Q80" s="288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</row>
    <row r="81" spans="1:15" ht="16.5" thickBot="1" x14ac:dyDescent="0.3">
      <c r="A81" s="162" t="s">
        <v>644</v>
      </c>
      <c r="B81" s="43" t="s">
        <v>645</v>
      </c>
      <c r="C81" s="94">
        <v>0</v>
      </c>
      <c r="D81" s="123">
        <v>0</v>
      </c>
      <c r="E81" s="142">
        <v>0</v>
      </c>
      <c r="F81" s="123">
        <v>0</v>
      </c>
      <c r="G81" s="142">
        <v>0</v>
      </c>
      <c r="H81" s="123">
        <v>0</v>
      </c>
      <c r="I81" s="144">
        <v>37812</v>
      </c>
      <c r="J81" s="123">
        <v>0</v>
      </c>
      <c r="K81" s="200">
        <f t="shared" si="18"/>
        <v>0</v>
      </c>
      <c r="L81" s="42"/>
      <c r="M81" s="221">
        <f>K81+(K81*'REVEN&amp;EXP - ALL FUNDS'!$E$5)</f>
        <v>0</v>
      </c>
      <c r="N81" s="221">
        <v>0</v>
      </c>
      <c r="O81" s="221">
        <v>0</v>
      </c>
    </row>
    <row r="82" spans="1:15" x14ac:dyDescent="0.25">
      <c r="A82" s="33"/>
      <c r="B82" s="53" t="s">
        <v>328</v>
      </c>
      <c r="C82" s="91">
        <f>SUM(C81:C81)</f>
        <v>0</v>
      </c>
      <c r="D82" s="91">
        <f>SUM(D81:D81)</f>
        <v>0</v>
      </c>
      <c r="E82" s="127">
        <f>+E81</f>
        <v>0</v>
      </c>
      <c r="F82" s="91">
        <v>4900</v>
      </c>
      <c r="G82" s="127">
        <v>0</v>
      </c>
      <c r="H82" s="91">
        <v>0</v>
      </c>
      <c r="I82" s="58">
        <f>+I81</f>
        <v>37812</v>
      </c>
      <c r="J82" s="91"/>
      <c r="K82" s="201"/>
      <c r="L82" s="42"/>
      <c r="M82" s="130">
        <f>SUM(M80:M81)</f>
        <v>0</v>
      </c>
      <c r="N82" s="130">
        <f>SUM(N80:N81)</f>
        <v>0</v>
      </c>
      <c r="O82" s="130">
        <f>SUM(O80:O81)</f>
        <v>36252</v>
      </c>
    </row>
    <row r="83" spans="1:15" x14ac:dyDescent="0.25">
      <c r="A83" s="33"/>
      <c r="B83" s="33"/>
      <c r="C83" s="91"/>
      <c r="D83" s="90"/>
      <c r="E83" s="135"/>
      <c r="F83" s="90"/>
      <c r="G83" s="135"/>
      <c r="H83" s="90"/>
      <c r="I83" s="137"/>
      <c r="J83" s="90"/>
      <c r="K83" s="199"/>
      <c r="L83" s="42"/>
      <c r="M83" s="33"/>
      <c r="N83" s="33"/>
      <c r="O83" s="33"/>
    </row>
    <row r="84" spans="1:15" x14ac:dyDescent="0.25">
      <c r="A84" s="286" t="s">
        <v>550</v>
      </c>
      <c r="B84" s="286"/>
      <c r="C84" s="107">
        <f>C22+C32+C41+C57+C61+C68+C73+C77+C82</f>
        <v>753473.13</v>
      </c>
      <c r="D84" s="107">
        <f>D22+D32+D41+D57+D61+D68+D73+D77+D82</f>
        <v>915621</v>
      </c>
      <c r="E84" s="55">
        <f>E22+E32+E41+E57+E61+E68+E73+E77+E82</f>
        <v>190792.87</v>
      </c>
      <c r="F84" s="107">
        <v>930967.36</v>
      </c>
      <c r="G84" s="55">
        <v>762379.64999999991</v>
      </c>
      <c r="H84" s="107">
        <v>746261.85990000004</v>
      </c>
      <c r="I84" s="56">
        <f>I22+I32+I41+I57+I61+I68+I73+I77+I82</f>
        <v>664270.76000000013</v>
      </c>
      <c r="J84" s="107">
        <f>J22+J32+J41+J57+J61+J68+J73+J77+J82</f>
        <v>918088</v>
      </c>
      <c r="K84" s="202">
        <f>K22+K32+K41+K57+K61+K68+K73+K77+K82</f>
        <v>918088</v>
      </c>
      <c r="L84" s="42"/>
      <c r="M84" s="240">
        <f>M22+M32+M41+M57+M61+M82</f>
        <v>1056233.95</v>
      </c>
      <c r="N84" s="240">
        <f t="shared" ref="N84" si="22">N22+N32+N41+N57+N61+N82</f>
        <v>0</v>
      </c>
      <c r="O84" s="240">
        <f>O22+O32+O41+O57+O61+O82</f>
        <v>1022952.35</v>
      </c>
    </row>
    <row r="85" spans="1:15" ht="10.5" customHeight="1" x14ac:dyDescent="0.25"/>
    <row r="86" spans="1:15" hidden="1" x14ac:dyDescent="0.25">
      <c r="A86" s="156" t="s">
        <v>551</v>
      </c>
    </row>
    <row r="87" spans="1:15" ht="62.45" hidden="1" customHeight="1" x14ac:dyDescent="0.25">
      <c r="A87" s="285" t="s">
        <v>552</v>
      </c>
      <c r="B87" s="285"/>
      <c r="C87" s="285"/>
      <c r="D87" s="285"/>
      <c r="E87" s="285"/>
      <c r="F87" s="285"/>
    </row>
    <row r="88" spans="1:15" hidden="1" x14ac:dyDescent="0.25"/>
    <row r="89" spans="1:15" hidden="1" x14ac:dyDescent="0.25">
      <c r="F89" s="177"/>
      <c r="G89" s="180"/>
    </row>
    <row r="90" spans="1:15" hidden="1" x14ac:dyDescent="0.25">
      <c r="B90" s="184" t="s">
        <v>660</v>
      </c>
      <c r="C90" s="184"/>
      <c r="D90" s="185"/>
      <c r="E90" s="185"/>
      <c r="F90" s="185"/>
      <c r="G90" s="185"/>
    </row>
    <row r="91" spans="1:15" hidden="1" x14ac:dyDescent="0.25"/>
    <row r="92" spans="1:15" hidden="1" x14ac:dyDescent="0.25">
      <c r="A92" s="194"/>
      <c r="B92" s="184" t="s">
        <v>634</v>
      </c>
      <c r="C92" s="184"/>
      <c r="D92" s="185"/>
      <c r="E92" s="185"/>
      <c r="F92" s="190">
        <f>20*2080</f>
        <v>41600</v>
      </c>
      <c r="G92" s="185" t="s">
        <v>636</v>
      </c>
    </row>
    <row r="93" spans="1:15" hidden="1" x14ac:dyDescent="0.25">
      <c r="A93" s="40"/>
      <c r="B93" s="187"/>
      <c r="C93" s="40"/>
      <c r="D93" s="191"/>
      <c r="E93" s="191"/>
      <c r="F93" s="191"/>
      <c r="G93" s="191"/>
    </row>
    <row r="94" spans="1:15" hidden="1" x14ac:dyDescent="0.25">
      <c r="A94" s="40"/>
      <c r="B94" s="192" t="s">
        <v>662</v>
      </c>
      <c r="C94" s="192"/>
      <c r="D94" s="193"/>
      <c r="E94" s="193"/>
      <c r="F94" s="193"/>
      <c r="G94" s="191"/>
    </row>
    <row r="95" spans="1:15" x14ac:dyDescent="0.25">
      <c r="A95" s="40"/>
      <c r="B95" s="40"/>
      <c r="C95" s="40"/>
      <c r="D95" s="191"/>
      <c r="E95" s="191"/>
      <c r="F95" s="191"/>
      <c r="G95" s="191"/>
    </row>
  </sheetData>
  <sortState ref="A30:J31">
    <sortCondition ref="A30"/>
  </sortState>
  <mergeCells count="6">
    <mergeCell ref="A87:F87"/>
    <mergeCell ref="A22:B22"/>
    <mergeCell ref="A57:B57"/>
    <mergeCell ref="A59:B59"/>
    <mergeCell ref="A84:B84"/>
    <mergeCell ref="A79:B79"/>
  </mergeCells>
  <pageMargins left="0.7" right="0.7" top="0.75" bottom="0.75" header="0.3" footer="0.3"/>
  <pageSetup scale="3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64"/>
  <sheetViews>
    <sheetView zoomScale="90" zoomScaleNormal="90" workbookViewId="0">
      <selection activeCell="AA49" sqref="AA49"/>
    </sheetView>
  </sheetViews>
  <sheetFormatPr defaultColWidth="9.140625" defaultRowHeight="15.75" x14ac:dyDescent="0.25"/>
  <cols>
    <col min="1" max="1" width="15" style="34" customWidth="1"/>
    <col min="2" max="2" width="33.140625" style="34" customWidth="1"/>
    <col min="3" max="3" width="10.42578125" style="34" hidden="1" customWidth="1"/>
    <col min="4" max="5" width="10.7109375" style="116" hidden="1" customWidth="1"/>
    <col min="6" max="6" width="14.5703125" style="116" hidden="1" customWidth="1"/>
    <col min="7" max="7" width="17" style="116" hidden="1" customWidth="1"/>
    <col min="8" max="8" width="15.5703125" style="116" hidden="1" customWidth="1"/>
    <col min="9" max="9" width="14.7109375" style="34" hidden="1" customWidth="1"/>
    <col min="10" max="11" width="16.7109375" style="34" hidden="1" customWidth="1"/>
    <col min="12" max="12" width="3.85546875" style="34" hidden="1" customWidth="1"/>
    <col min="13" max="15" width="14.140625" style="34" customWidth="1"/>
    <col min="16" max="16" width="9.140625" style="33"/>
    <col min="17" max="16384" width="9.140625" style="34"/>
  </cols>
  <sheetData>
    <row r="1" spans="1:17" x14ac:dyDescent="0.25">
      <c r="A1" s="32" t="s">
        <v>563</v>
      </c>
      <c r="B1" s="35"/>
      <c r="C1" s="35"/>
      <c r="D1" s="35"/>
      <c r="E1" s="35"/>
      <c r="F1" s="35"/>
      <c r="G1" s="35"/>
      <c r="H1" s="35"/>
    </row>
    <row r="2" spans="1:17" x14ac:dyDescent="0.25">
      <c r="A2" s="32" t="s">
        <v>564</v>
      </c>
      <c r="B2" s="35"/>
      <c r="C2" s="35"/>
      <c r="D2" s="35"/>
      <c r="E2" s="35"/>
      <c r="F2" s="35"/>
      <c r="G2" s="35"/>
      <c r="H2" s="35"/>
    </row>
    <row r="3" spans="1:17" x14ac:dyDescent="0.25">
      <c r="A3" s="32" t="str">
        <f>+'UF - REVENUE'!A3</f>
        <v>FISCAL YEAR 2023-2024</v>
      </c>
      <c r="B3" s="35"/>
      <c r="C3" s="35"/>
      <c r="D3" s="35"/>
      <c r="E3" s="35"/>
      <c r="F3" s="35"/>
      <c r="G3" s="35"/>
      <c r="H3" s="35"/>
    </row>
    <row r="5" spans="1:17" ht="48" thickBot="1" x14ac:dyDescent="0.3">
      <c r="A5" s="79" t="s">
        <v>699</v>
      </c>
      <c r="B5" s="66"/>
      <c r="C5" s="36" t="s">
        <v>1</v>
      </c>
      <c r="D5" s="118" t="s">
        <v>2</v>
      </c>
      <c r="E5" s="171" t="str">
        <f>+'UF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tr">
        <f>+'UF - REVENUE'!J5</f>
        <v>FY21-22  BUDGET</v>
      </c>
      <c r="K5" s="197" t="str">
        <f>+'UF - REVENUE'!K5</f>
        <v>FY 21-22 BUDGET</v>
      </c>
      <c r="L5" s="42"/>
      <c r="M5" s="37" t="s">
        <v>703</v>
      </c>
      <c r="N5" s="37" t="s">
        <v>687</v>
      </c>
      <c r="O5" s="227" t="s">
        <v>685</v>
      </c>
    </row>
    <row r="6" spans="1:17" hidden="1" x14ac:dyDescent="0.25">
      <c r="A6" s="33"/>
      <c r="B6" s="33"/>
      <c r="C6" s="33"/>
      <c r="D6" s="90"/>
      <c r="E6" s="135"/>
      <c r="F6" s="90"/>
      <c r="G6" s="135"/>
      <c r="H6" s="90"/>
      <c r="I6" s="71"/>
      <c r="K6" s="198"/>
      <c r="L6" s="42"/>
      <c r="M6" s="33"/>
      <c r="O6" s="228"/>
    </row>
    <row r="7" spans="1:17" hidden="1" x14ac:dyDescent="0.25">
      <c r="A7" s="39" t="s">
        <v>195</v>
      </c>
      <c r="B7" s="33"/>
      <c r="C7" s="33"/>
      <c r="D7" s="90"/>
      <c r="E7" s="135"/>
      <c r="F7" s="90"/>
      <c r="G7" s="135"/>
      <c r="H7" s="90"/>
      <c r="I7" s="71"/>
      <c r="K7" s="198"/>
      <c r="L7" s="42"/>
      <c r="M7" s="33"/>
      <c r="O7" s="228"/>
    </row>
    <row r="8" spans="1:17" hidden="1" x14ac:dyDescent="0.25">
      <c r="A8" s="139">
        <v>15</v>
      </c>
      <c r="B8" s="106" t="s">
        <v>451</v>
      </c>
      <c r="C8" s="33"/>
      <c r="D8" s="90"/>
      <c r="E8" s="135"/>
      <c r="F8" s="90"/>
      <c r="G8" s="135"/>
      <c r="H8" s="90"/>
      <c r="I8" s="71"/>
      <c r="K8" s="198"/>
      <c r="L8" s="42"/>
      <c r="M8" s="33"/>
      <c r="O8" s="228"/>
    </row>
    <row r="9" spans="1:17" hidden="1" x14ac:dyDescent="0.25">
      <c r="A9" s="33"/>
      <c r="B9" s="33"/>
      <c r="C9" s="33"/>
      <c r="D9" s="90"/>
      <c r="E9" s="135"/>
      <c r="F9" s="90"/>
      <c r="G9" s="135"/>
      <c r="H9" s="90"/>
      <c r="I9" s="71"/>
      <c r="K9" s="198"/>
      <c r="L9" s="42"/>
      <c r="M9" s="33"/>
      <c r="O9" s="228"/>
    </row>
    <row r="10" spans="1:17" x14ac:dyDescent="0.25">
      <c r="A10" s="89" t="s">
        <v>10</v>
      </c>
      <c r="B10" s="33"/>
      <c r="C10" s="126"/>
      <c r="D10" s="90"/>
      <c r="E10" s="135"/>
      <c r="F10" s="90"/>
      <c r="G10" s="135"/>
      <c r="H10" s="90"/>
      <c r="I10" s="71"/>
      <c r="K10" s="198"/>
      <c r="L10" s="42"/>
      <c r="M10" s="33"/>
      <c r="O10" s="228"/>
    </row>
    <row r="11" spans="1:17" ht="16.5" thickBot="1" x14ac:dyDescent="0.3">
      <c r="A11" s="147" t="s">
        <v>452</v>
      </c>
      <c r="B11" s="33" t="s">
        <v>51</v>
      </c>
      <c r="C11" s="94">
        <v>25958.97</v>
      </c>
      <c r="D11" s="90">
        <v>8000</v>
      </c>
      <c r="E11" s="135">
        <v>34149.75</v>
      </c>
      <c r="F11" s="90">
        <v>5000</v>
      </c>
      <c r="G11" s="135">
        <v>48483.92</v>
      </c>
      <c r="H11" s="90">
        <v>35000</v>
      </c>
      <c r="I11" s="137">
        <v>17835.5</v>
      </c>
      <c r="J11" s="90">
        <v>35000</v>
      </c>
      <c r="K11" s="199">
        <v>35000</v>
      </c>
      <c r="L11" s="42"/>
      <c r="M11" s="222">
        <v>42000</v>
      </c>
      <c r="N11" s="222">
        <v>0</v>
      </c>
      <c r="O11" s="229">
        <v>60000</v>
      </c>
      <c r="P11" s="33" t="s">
        <v>705</v>
      </c>
      <c r="Q11" s="33" t="s">
        <v>705</v>
      </c>
    </row>
    <row r="12" spans="1:17" x14ac:dyDescent="0.25">
      <c r="A12" s="147" t="s">
        <v>453</v>
      </c>
      <c r="B12" s="33" t="s">
        <v>52</v>
      </c>
      <c r="C12" s="91"/>
      <c r="D12" s="90">
        <v>47000</v>
      </c>
      <c r="E12" s="135">
        <f>26716.5+33903.85</f>
        <v>60620.35</v>
      </c>
      <c r="F12" s="90">
        <v>20000</v>
      </c>
      <c r="G12" s="135">
        <v>25999.8</v>
      </c>
      <c r="H12" s="90">
        <v>20000</v>
      </c>
      <c r="I12" s="137">
        <v>7996.25</v>
      </c>
      <c r="J12" s="90">
        <v>20000</v>
      </c>
      <c r="K12" s="199">
        <v>20000</v>
      </c>
      <c r="L12" s="42"/>
      <c r="M12" s="222">
        <f>K12+(K12*'REVEN&amp;EXP - ALL FUNDS'!$E$5)</f>
        <v>20600</v>
      </c>
      <c r="N12" s="222">
        <v>0</v>
      </c>
      <c r="O12" s="229">
        <f t="shared" ref="O12:O16" si="0">M12</f>
        <v>20600</v>
      </c>
    </row>
    <row r="13" spans="1:17" x14ac:dyDescent="0.25">
      <c r="A13" s="147" t="s">
        <v>454</v>
      </c>
      <c r="B13" s="33" t="s">
        <v>455</v>
      </c>
      <c r="C13" s="91"/>
      <c r="D13" s="90">
        <v>4600</v>
      </c>
      <c r="E13" s="135">
        <f>8440+8615</f>
        <v>17055</v>
      </c>
      <c r="F13" s="90">
        <v>7450</v>
      </c>
      <c r="G13" s="135">
        <v>14900</v>
      </c>
      <c r="H13" s="90">
        <v>15100</v>
      </c>
      <c r="I13" s="137">
        <v>15100</v>
      </c>
      <c r="J13" s="90">
        <v>15400</v>
      </c>
      <c r="K13" s="199">
        <v>15400</v>
      </c>
      <c r="L13" s="42"/>
      <c r="M13" s="222">
        <f>K13+(K13*'REVEN&amp;EXP - ALL FUNDS'!$E$5)</f>
        <v>15862</v>
      </c>
      <c r="N13" s="222">
        <v>0</v>
      </c>
      <c r="O13" s="229">
        <f t="shared" si="0"/>
        <v>15862</v>
      </c>
    </row>
    <row r="14" spans="1:17" x14ac:dyDescent="0.25">
      <c r="A14" s="147" t="s">
        <v>456</v>
      </c>
      <c r="B14" s="33" t="s">
        <v>457</v>
      </c>
      <c r="C14" s="91"/>
      <c r="D14" s="90">
        <v>3000</v>
      </c>
      <c r="E14" s="135">
        <v>3038.68</v>
      </c>
      <c r="F14" s="90">
        <v>3500</v>
      </c>
      <c r="G14" s="135">
        <v>3841.37</v>
      </c>
      <c r="H14" s="90">
        <v>3500</v>
      </c>
      <c r="I14" s="137">
        <v>3253.83</v>
      </c>
      <c r="J14" s="90">
        <v>3500</v>
      </c>
      <c r="K14" s="199">
        <v>3500</v>
      </c>
      <c r="L14" s="42"/>
      <c r="M14" s="222">
        <f>K14+(K14*'REVEN&amp;EXP - ALL FUNDS'!$E$5)</f>
        <v>3605</v>
      </c>
      <c r="N14" s="222">
        <v>0</v>
      </c>
      <c r="O14" s="229">
        <f t="shared" si="0"/>
        <v>3605</v>
      </c>
    </row>
    <row r="15" spans="1:17" x14ac:dyDescent="0.25">
      <c r="A15" s="147" t="s">
        <v>458</v>
      </c>
      <c r="B15" s="33" t="s">
        <v>459</v>
      </c>
      <c r="C15" s="91"/>
      <c r="D15" s="90">
        <v>225</v>
      </c>
      <c r="E15" s="135">
        <v>219.9</v>
      </c>
      <c r="F15" s="90">
        <v>250</v>
      </c>
      <c r="G15" s="135">
        <v>225</v>
      </c>
      <c r="H15" s="90">
        <v>250</v>
      </c>
      <c r="I15" s="137">
        <v>221</v>
      </c>
      <c r="J15" s="90">
        <v>300</v>
      </c>
      <c r="K15" s="199">
        <v>300</v>
      </c>
      <c r="L15" s="42"/>
      <c r="M15" s="222">
        <f>K15+(K15*'REVEN&amp;EXP - ALL FUNDS'!$E$5)</f>
        <v>309</v>
      </c>
      <c r="N15" s="222">
        <v>0</v>
      </c>
      <c r="O15" s="229">
        <f t="shared" si="0"/>
        <v>309</v>
      </c>
    </row>
    <row r="16" spans="1:17" ht="16.5" thickBot="1" x14ac:dyDescent="0.3">
      <c r="A16" s="147" t="s">
        <v>460</v>
      </c>
      <c r="B16" s="33" t="s">
        <v>461</v>
      </c>
      <c r="C16" s="91"/>
      <c r="D16" s="123">
        <v>0</v>
      </c>
      <c r="E16" s="142">
        <v>0</v>
      </c>
      <c r="F16" s="123">
        <v>22884</v>
      </c>
      <c r="G16" s="142">
        <v>20245</v>
      </c>
      <c r="H16" s="123">
        <v>21600</v>
      </c>
      <c r="I16" s="144">
        <v>14400</v>
      </c>
      <c r="J16" s="123">
        <v>21600</v>
      </c>
      <c r="K16" s="200">
        <v>21600</v>
      </c>
      <c r="L16" s="42"/>
      <c r="M16" s="223">
        <v>0</v>
      </c>
      <c r="N16" s="223">
        <v>0</v>
      </c>
      <c r="O16" s="230">
        <f t="shared" si="0"/>
        <v>0</v>
      </c>
    </row>
    <row r="17" spans="1:15" x14ac:dyDescent="0.25">
      <c r="A17" s="33"/>
      <c r="B17" s="39" t="s">
        <v>218</v>
      </c>
      <c r="C17" s="91">
        <f>SUM(C11:C11)</f>
        <v>25958.97</v>
      </c>
      <c r="D17" s="91">
        <f t="shared" ref="D17:J17" si="1">SUM(D11:D16)</f>
        <v>62825</v>
      </c>
      <c r="E17" s="127">
        <f t="shared" si="1"/>
        <v>115083.68</v>
      </c>
      <c r="F17" s="91">
        <v>59084</v>
      </c>
      <c r="G17" s="127">
        <v>113695.09</v>
      </c>
      <c r="H17" s="91">
        <v>95450</v>
      </c>
      <c r="I17" s="58">
        <f t="shared" si="1"/>
        <v>58806.58</v>
      </c>
      <c r="J17" s="91">
        <f t="shared" si="1"/>
        <v>95800</v>
      </c>
      <c r="K17" s="201">
        <f t="shared" ref="K17:M17" si="2">SUM(K11:K16)</f>
        <v>95800</v>
      </c>
      <c r="L17" s="42"/>
      <c r="M17" s="225">
        <f t="shared" si="2"/>
        <v>82376</v>
      </c>
      <c r="N17" s="225">
        <f>SUM(N11:N16)</f>
        <v>0</v>
      </c>
      <c r="O17" s="231">
        <f>SUM(O11:O16)</f>
        <v>100376</v>
      </c>
    </row>
    <row r="18" spans="1:15" x14ac:dyDescent="0.25">
      <c r="A18" s="33"/>
      <c r="B18" s="33"/>
      <c r="C18" s="91"/>
      <c r="D18" s="90"/>
      <c r="E18" s="135"/>
      <c r="F18" s="90"/>
      <c r="G18" s="136"/>
      <c r="H18" s="90"/>
      <c r="I18" s="137"/>
      <c r="J18" s="90"/>
      <c r="K18" s="199"/>
      <c r="L18" s="42"/>
      <c r="M18" s="222"/>
      <c r="N18" s="222"/>
      <c r="O18" s="229"/>
    </row>
    <row r="19" spans="1:15" x14ac:dyDescent="0.25">
      <c r="A19" s="89" t="s">
        <v>12</v>
      </c>
      <c r="B19" s="33"/>
      <c r="C19" s="91"/>
      <c r="D19" s="90"/>
      <c r="E19" s="135"/>
      <c r="F19" s="90"/>
      <c r="G19" s="136"/>
      <c r="H19" s="90"/>
      <c r="I19" s="137"/>
      <c r="J19" s="90"/>
      <c r="K19" s="199"/>
      <c r="L19" s="42"/>
      <c r="M19" s="222"/>
      <c r="N19" s="222"/>
      <c r="O19" s="229"/>
    </row>
    <row r="20" spans="1:15" x14ac:dyDescent="0.25">
      <c r="A20" s="147" t="s">
        <v>462</v>
      </c>
      <c r="B20" s="33" t="s">
        <v>261</v>
      </c>
      <c r="C20" s="91">
        <v>0</v>
      </c>
      <c r="D20" s="90">
        <v>0</v>
      </c>
      <c r="E20" s="135">
        <f>4457.99+64.48+546.22+82.76</f>
        <v>5151.45</v>
      </c>
      <c r="F20" s="90">
        <v>5500</v>
      </c>
      <c r="G20" s="135">
        <v>9575.35</v>
      </c>
      <c r="H20" s="90">
        <v>4500</v>
      </c>
      <c r="I20" s="137">
        <v>4870.83</v>
      </c>
      <c r="J20" s="90">
        <v>5000</v>
      </c>
      <c r="K20" s="199">
        <v>5000</v>
      </c>
      <c r="L20" s="42"/>
      <c r="M20" s="222">
        <v>6000</v>
      </c>
      <c r="N20" s="222">
        <v>0</v>
      </c>
      <c r="O20" s="229">
        <f>M20</f>
        <v>6000</v>
      </c>
    </row>
    <row r="21" spans="1:15" x14ac:dyDescent="0.25">
      <c r="A21" s="147" t="s">
        <v>463</v>
      </c>
      <c r="B21" s="33" t="s">
        <v>464</v>
      </c>
      <c r="C21" s="91"/>
      <c r="D21" s="90">
        <v>0</v>
      </c>
      <c r="E21" s="135">
        <f>83.1+72.8</f>
        <v>155.89999999999998</v>
      </c>
      <c r="F21" s="90">
        <v>0</v>
      </c>
      <c r="G21" s="135">
        <v>52.22</v>
      </c>
      <c r="H21" s="90">
        <v>240</v>
      </c>
      <c r="I21" s="137">
        <v>69.349999999999994</v>
      </c>
      <c r="J21" s="90">
        <v>240</v>
      </c>
      <c r="K21" s="199">
        <v>240</v>
      </c>
      <c r="L21" s="42"/>
      <c r="M21" s="222">
        <f>K21+(K21*'REVEN&amp;EXP - ALL FUNDS'!$E$5)</f>
        <v>247.2</v>
      </c>
      <c r="N21" s="222">
        <v>0</v>
      </c>
      <c r="O21" s="229">
        <f t="shared" ref="O21:O30" si="3">M21</f>
        <v>247.2</v>
      </c>
    </row>
    <row r="22" spans="1:15" x14ac:dyDescent="0.25">
      <c r="A22" s="147" t="s">
        <v>465</v>
      </c>
      <c r="B22" s="33" t="s">
        <v>466</v>
      </c>
      <c r="C22" s="91">
        <v>0</v>
      </c>
      <c r="D22" s="90">
        <v>0</v>
      </c>
      <c r="E22" s="135">
        <f>1595.57+242.51</f>
        <v>1838.08</v>
      </c>
      <c r="F22" s="90">
        <v>2000</v>
      </c>
      <c r="G22" s="135">
        <v>5965.57</v>
      </c>
      <c r="H22" s="90">
        <v>2000</v>
      </c>
      <c r="I22" s="137">
        <v>3367.43</v>
      </c>
      <c r="J22" s="90">
        <v>6000</v>
      </c>
      <c r="K22" s="199">
        <v>6000</v>
      </c>
      <c r="L22" s="42"/>
      <c r="M22" s="222">
        <f>K22+(K22*'REVEN&amp;EXP - ALL FUNDS'!$E$5)</f>
        <v>6180</v>
      </c>
      <c r="N22" s="222">
        <v>0</v>
      </c>
      <c r="O22" s="229">
        <f t="shared" si="3"/>
        <v>6180</v>
      </c>
    </row>
    <row r="23" spans="1:15" ht="16.5" thickBot="1" x14ac:dyDescent="0.3">
      <c r="A23" s="147" t="s">
        <v>467</v>
      </c>
      <c r="B23" s="33" t="s">
        <v>468</v>
      </c>
      <c r="C23" s="94">
        <v>5310</v>
      </c>
      <c r="D23" s="90">
        <v>0</v>
      </c>
      <c r="E23" s="135">
        <f>4083.96+1546.83</f>
        <v>5630.79</v>
      </c>
      <c r="F23" s="90">
        <v>3600</v>
      </c>
      <c r="G23" s="135">
        <v>5865.73</v>
      </c>
      <c r="H23" s="90">
        <v>3600</v>
      </c>
      <c r="I23" s="137">
        <v>1721.62</v>
      </c>
      <c r="J23" s="90">
        <v>3600</v>
      </c>
      <c r="K23" s="199">
        <v>3600</v>
      </c>
      <c r="L23" s="42"/>
      <c r="M23" s="222">
        <v>5000</v>
      </c>
      <c r="N23" s="222">
        <v>0</v>
      </c>
      <c r="O23" s="229">
        <f t="shared" si="3"/>
        <v>5000</v>
      </c>
    </row>
    <row r="24" spans="1:15" ht="16.5" thickBot="1" x14ac:dyDescent="0.3">
      <c r="A24" s="147" t="s">
        <v>469</v>
      </c>
      <c r="B24" s="33" t="s">
        <v>632</v>
      </c>
      <c r="C24" s="94"/>
      <c r="D24" s="90">
        <v>0</v>
      </c>
      <c r="E24" s="135">
        <v>0</v>
      </c>
      <c r="F24" s="90">
        <v>0</v>
      </c>
      <c r="G24" s="135"/>
      <c r="H24" s="90">
        <v>3500</v>
      </c>
      <c r="I24" s="137">
        <v>382.35</v>
      </c>
      <c r="J24" s="90">
        <v>5000</v>
      </c>
      <c r="K24" s="199">
        <v>5000</v>
      </c>
      <c r="L24" s="42"/>
      <c r="M24" s="222">
        <f>K24+(K24*'REVEN&amp;EXP - ALL FUNDS'!$E$5)</f>
        <v>5150</v>
      </c>
      <c r="N24" s="222">
        <v>0</v>
      </c>
      <c r="O24" s="229">
        <v>2000</v>
      </c>
    </row>
    <row r="25" spans="1:15" ht="16.5" thickBot="1" x14ac:dyDescent="0.3">
      <c r="A25" s="147" t="s">
        <v>470</v>
      </c>
      <c r="B25" s="33" t="s">
        <v>383</v>
      </c>
      <c r="C25" s="94"/>
      <c r="D25" s="90"/>
      <c r="E25" s="135"/>
      <c r="F25" s="90">
        <v>2500</v>
      </c>
      <c r="G25" s="135">
        <v>2556.96</v>
      </c>
      <c r="H25" s="90">
        <v>2500</v>
      </c>
      <c r="I25" s="137">
        <v>1239.24</v>
      </c>
      <c r="J25" s="90">
        <v>2500</v>
      </c>
      <c r="K25" s="199">
        <v>2500</v>
      </c>
      <c r="L25" s="42"/>
      <c r="M25" s="222">
        <f>K25+(K25*'REVEN&amp;EXP - ALL FUNDS'!$E$5)</f>
        <v>2575</v>
      </c>
      <c r="N25" s="222">
        <v>0</v>
      </c>
      <c r="O25" s="229">
        <f t="shared" si="3"/>
        <v>2575</v>
      </c>
    </row>
    <row r="26" spans="1:15" ht="16.5" thickBot="1" x14ac:dyDescent="0.3">
      <c r="A26" s="147" t="s">
        <v>584</v>
      </c>
      <c r="B26" s="33" t="s">
        <v>565</v>
      </c>
      <c r="C26" s="94"/>
      <c r="D26" s="90"/>
      <c r="E26" s="135"/>
      <c r="F26" s="90">
        <v>0</v>
      </c>
      <c r="G26" s="135">
        <v>42090</v>
      </c>
      <c r="H26" s="90">
        <v>0</v>
      </c>
      <c r="I26" s="137"/>
      <c r="J26" s="90">
        <v>0</v>
      </c>
      <c r="K26" s="199">
        <v>0</v>
      </c>
      <c r="L26" s="42"/>
      <c r="M26" s="222">
        <f>K26+(K26*'REVEN&amp;EXP - ALL FUNDS'!$E$5)</f>
        <v>0</v>
      </c>
      <c r="N26" s="222">
        <v>0</v>
      </c>
      <c r="O26" s="229">
        <f t="shared" si="3"/>
        <v>0</v>
      </c>
    </row>
    <row r="27" spans="1:15" ht="16.5" thickBot="1" x14ac:dyDescent="0.3">
      <c r="A27" s="147" t="s">
        <v>619</v>
      </c>
      <c r="B27" s="33" t="s">
        <v>620</v>
      </c>
      <c r="C27" s="94"/>
      <c r="D27" s="90"/>
      <c r="E27" s="135"/>
      <c r="F27" s="90"/>
      <c r="G27" s="135"/>
      <c r="H27" s="90"/>
      <c r="I27" s="137">
        <v>875</v>
      </c>
      <c r="J27" s="90">
        <f>516.75+390</f>
        <v>906.75</v>
      </c>
      <c r="K27" s="199">
        <f>516.75+390</f>
        <v>906.75</v>
      </c>
      <c r="L27" s="42"/>
      <c r="M27" s="222">
        <f>K27+(K27*'REVEN&amp;EXP - ALL FUNDS'!$E$5)</f>
        <v>933.95249999999999</v>
      </c>
      <c r="N27" s="222">
        <v>0</v>
      </c>
      <c r="O27" s="229">
        <f t="shared" si="3"/>
        <v>933.95249999999999</v>
      </c>
    </row>
    <row r="28" spans="1:15" ht="16.5" thickBot="1" x14ac:dyDescent="0.3">
      <c r="A28" s="147" t="s">
        <v>621</v>
      </c>
      <c r="B28" s="33" t="s">
        <v>622</v>
      </c>
      <c r="C28" s="94"/>
      <c r="D28" s="90"/>
      <c r="E28" s="135"/>
      <c r="F28" s="90"/>
      <c r="G28" s="135"/>
      <c r="H28" s="90"/>
      <c r="I28" s="137">
        <v>17529</v>
      </c>
      <c r="J28" s="90"/>
      <c r="K28" s="199"/>
      <c r="L28" s="42"/>
      <c r="M28" s="222">
        <f>K28+(K28*'REVEN&amp;EXP - ALL FUNDS'!$E$5)</f>
        <v>0</v>
      </c>
      <c r="N28" s="222">
        <v>0</v>
      </c>
      <c r="O28" s="229">
        <f t="shared" si="3"/>
        <v>0</v>
      </c>
    </row>
    <row r="29" spans="1:15" ht="16.5" thickBot="1" x14ac:dyDescent="0.3">
      <c r="A29" s="169" t="s">
        <v>642</v>
      </c>
      <c r="B29" s="166" t="s">
        <v>705</v>
      </c>
      <c r="C29" s="167"/>
      <c r="D29" s="172"/>
      <c r="E29" s="172"/>
      <c r="F29" s="172"/>
      <c r="G29" s="172"/>
      <c r="H29" s="172"/>
      <c r="I29" s="172"/>
      <c r="J29" s="172">
        <v>10000</v>
      </c>
      <c r="K29" s="199">
        <v>10000</v>
      </c>
      <c r="L29" s="42"/>
      <c r="M29" s="222">
        <v>0</v>
      </c>
      <c r="N29" s="222">
        <v>0</v>
      </c>
      <c r="O29" s="229">
        <f t="shared" si="3"/>
        <v>0</v>
      </c>
    </row>
    <row r="30" spans="1:15" ht="16.5" thickBot="1" x14ac:dyDescent="0.3">
      <c r="A30" s="147" t="s">
        <v>642</v>
      </c>
      <c r="B30" s="33" t="s">
        <v>643</v>
      </c>
      <c r="C30" s="94">
        <v>0</v>
      </c>
      <c r="D30" s="123">
        <v>0</v>
      </c>
      <c r="E30" s="142">
        <v>873.9</v>
      </c>
      <c r="F30" s="123"/>
      <c r="G30" s="142"/>
      <c r="H30" s="123">
        <v>0</v>
      </c>
      <c r="I30" s="144">
        <v>0</v>
      </c>
      <c r="J30" s="133">
        <v>8000</v>
      </c>
      <c r="K30" s="200">
        <v>8000</v>
      </c>
      <c r="L30" s="42"/>
      <c r="M30" s="223">
        <v>0</v>
      </c>
      <c r="N30" s="223">
        <v>0</v>
      </c>
      <c r="O30" s="230">
        <f t="shared" si="3"/>
        <v>0</v>
      </c>
    </row>
    <row r="31" spans="1:15" x14ac:dyDescent="0.25">
      <c r="A31" s="277" t="s">
        <v>227</v>
      </c>
      <c r="B31" s="277"/>
      <c r="C31" s="91">
        <f>SUM(C20:C23)</f>
        <v>5310</v>
      </c>
      <c r="D31" s="91">
        <f>SUM(D20:D30)</f>
        <v>0</v>
      </c>
      <c r="E31" s="127">
        <f>SUM(E20:E30)</f>
        <v>13650.119999999999</v>
      </c>
      <c r="F31" s="91">
        <v>13600</v>
      </c>
      <c r="G31" s="127">
        <v>66105.83</v>
      </c>
      <c r="H31" s="91">
        <v>16340</v>
      </c>
      <c r="I31" s="58">
        <f>SUM(I20:I30)</f>
        <v>30054.82</v>
      </c>
      <c r="J31" s="91">
        <f>SUM(J20:J30)</f>
        <v>41246.75</v>
      </c>
      <c r="K31" s="201">
        <f>SUM(K20:K30)</f>
        <v>41246.75</v>
      </c>
      <c r="L31" s="42"/>
      <c r="M31" s="225">
        <f>SUM(M20:M30)</f>
        <v>26086.1525</v>
      </c>
      <c r="N31" s="225">
        <f>SUM(N20:N30)</f>
        <v>0</v>
      </c>
      <c r="O31" s="231">
        <f>SUM(O20:O30)</f>
        <v>22936.1525</v>
      </c>
    </row>
    <row r="32" spans="1:15" x14ac:dyDescent="0.25">
      <c r="A32" s="33"/>
      <c r="B32" s="33"/>
      <c r="C32" s="91"/>
      <c r="D32" s="90"/>
      <c r="E32" s="135"/>
      <c r="F32" s="90"/>
      <c r="G32" s="136"/>
      <c r="H32" s="90"/>
      <c r="I32" s="137"/>
      <c r="J32" s="90"/>
      <c r="K32" s="199"/>
      <c r="L32" s="42"/>
      <c r="M32" s="222"/>
      <c r="N32" s="222"/>
      <c r="O32" s="229"/>
    </row>
    <row r="33" spans="1:15" ht="16.5" thickBot="1" x14ac:dyDescent="0.3">
      <c r="A33" s="79" t="s">
        <v>13</v>
      </c>
      <c r="B33" s="33"/>
      <c r="C33" s="33"/>
      <c r="D33" s="90"/>
      <c r="E33" s="135"/>
      <c r="F33" s="90"/>
      <c r="G33" s="136"/>
      <c r="H33" s="90"/>
      <c r="I33" s="137"/>
      <c r="J33" s="90"/>
      <c r="K33" s="199"/>
      <c r="L33" s="42"/>
      <c r="M33" s="222"/>
      <c r="N33" s="222"/>
      <c r="O33" s="229"/>
    </row>
    <row r="34" spans="1:15" x14ac:dyDescent="0.25">
      <c r="A34" s="147" t="s">
        <v>471</v>
      </c>
      <c r="B34" s="33" t="s">
        <v>229</v>
      </c>
      <c r="C34" s="91">
        <v>0</v>
      </c>
      <c r="D34" s="90">
        <v>0</v>
      </c>
      <c r="E34" s="135">
        <v>10032.64</v>
      </c>
      <c r="F34" s="90">
        <v>21500</v>
      </c>
      <c r="G34" s="135">
        <v>24049.040000000001</v>
      </c>
      <c r="H34" s="90">
        <v>21500</v>
      </c>
      <c r="I34" s="137">
        <v>18215</v>
      </c>
      <c r="J34" s="90">
        <v>25000</v>
      </c>
      <c r="K34" s="199">
        <v>25000</v>
      </c>
      <c r="L34" s="42"/>
      <c r="M34" s="222">
        <v>40000</v>
      </c>
      <c r="N34" s="222">
        <v>0</v>
      </c>
      <c r="O34" s="229">
        <f>M34</f>
        <v>40000</v>
      </c>
    </row>
    <row r="35" spans="1:15" x14ac:dyDescent="0.25">
      <c r="A35" s="147" t="s">
        <v>472</v>
      </c>
      <c r="B35" s="33" t="s">
        <v>231</v>
      </c>
      <c r="C35" s="91">
        <v>0</v>
      </c>
      <c r="D35" s="90">
        <v>0</v>
      </c>
      <c r="E35" s="135">
        <v>0</v>
      </c>
      <c r="F35" s="90">
        <v>2000</v>
      </c>
      <c r="G35" s="135">
        <v>6352.77</v>
      </c>
      <c r="H35" s="90">
        <v>2000</v>
      </c>
      <c r="I35" s="137">
        <v>1059.5899999999999</v>
      </c>
      <c r="J35" s="90">
        <v>6500</v>
      </c>
      <c r="K35" s="199">
        <v>6500</v>
      </c>
      <c r="L35" s="42"/>
      <c r="M35" s="222">
        <f>K35+(K35*'REVEN&amp;EXP - ALL FUNDS'!$E$5)</f>
        <v>6695</v>
      </c>
      <c r="N35" s="222">
        <v>0</v>
      </c>
      <c r="O35" s="229">
        <f t="shared" ref="O35:O37" si="4">M35</f>
        <v>6695</v>
      </c>
    </row>
    <row r="36" spans="1:15" x14ac:dyDescent="0.25">
      <c r="A36" s="147" t="s">
        <v>473</v>
      </c>
      <c r="B36" s="33" t="s">
        <v>233</v>
      </c>
      <c r="C36" s="91">
        <v>258</v>
      </c>
      <c r="D36" s="90">
        <v>0</v>
      </c>
      <c r="E36" s="135">
        <v>4510.0200000000004</v>
      </c>
      <c r="F36" s="90">
        <v>2000</v>
      </c>
      <c r="G36" s="135">
        <v>8340.11</v>
      </c>
      <c r="H36" s="90">
        <v>2000</v>
      </c>
      <c r="I36" s="137">
        <v>1995.37</v>
      </c>
      <c r="J36" s="90">
        <v>8500</v>
      </c>
      <c r="K36" s="199">
        <v>8500</v>
      </c>
      <c r="L36" s="42"/>
      <c r="M36" s="222">
        <f>K36+(K36*'REVEN&amp;EXP - ALL FUNDS'!$E$5)</f>
        <v>8755</v>
      </c>
      <c r="N36" s="222">
        <v>0</v>
      </c>
      <c r="O36" s="229">
        <f t="shared" si="4"/>
        <v>8755</v>
      </c>
    </row>
    <row r="37" spans="1:15" ht="16.5" thickBot="1" x14ac:dyDescent="0.3">
      <c r="A37" s="147" t="s">
        <v>474</v>
      </c>
      <c r="B37" s="33" t="s">
        <v>235</v>
      </c>
      <c r="C37" s="94">
        <v>1618</v>
      </c>
      <c r="D37" s="123">
        <v>1200</v>
      </c>
      <c r="E37" s="142">
        <v>2045.3</v>
      </c>
      <c r="F37" s="123">
        <v>1000</v>
      </c>
      <c r="G37" s="142">
        <v>2172.33</v>
      </c>
      <c r="H37" s="123">
        <v>1000</v>
      </c>
      <c r="I37" s="144">
        <v>1264</v>
      </c>
      <c r="J37" s="123">
        <v>2500</v>
      </c>
      <c r="K37" s="200">
        <v>2500</v>
      </c>
      <c r="L37" s="42"/>
      <c r="M37" s="223">
        <f>K37+(K37*'REVEN&amp;EXP - ALL FUNDS'!$E$5)</f>
        <v>2575</v>
      </c>
      <c r="N37" s="223">
        <v>0</v>
      </c>
      <c r="O37" s="230">
        <f t="shared" si="4"/>
        <v>2575</v>
      </c>
    </row>
    <row r="38" spans="1:15" x14ac:dyDescent="0.25">
      <c r="A38" s="33"/>
      <c r="B38" s="53" t="s">
        <v>236</v>
      </c>
      <c r="C38" s="91">
        <f>SUM(C34:C37)</f>
        <v>1876</v>
      </c>
      <c r="D38" s="91">
        <f t="shared" ref="D38" si="5">SUM(D34:D37)</f>
        <v>1200</v>
      </c>
      <c r="E38" s="127">
        <f>SUM(E34:E37)</f>
        <v>16587.96</v>
      </c>
      <c r="F38" s="91">
        <v>26500</v>
      </c>
      <c r="G38" s="127">
        <v>40914.25</v>
      </c>
      <c r="H38" s="91">
        <v>26500</v>
      </c>
      <c r="I38" s="58">
        <f t="shared" ref="I38" si="6">SUM(I34:I37)</f>
        <v>22533.96</v>
      </c>
      <c r="J38" s="91">
        <f t="shared" ref="J38:M38" si="7">SUM(J34:J37)</f>
        <v>42500</v>
      </c>
      <c r="K38" s="201">
        <f t="shared" si="7"/>
        <v>42500</v>
      </c>
      <c r="L38" s="42"/>
      <c r="M38" s="225">
        <f t="shared" si="7"/>
        <v>58025</v>
      </c>
      <c r="N38" s="225">
        <f>SUM(N34:N37)</f>
        <v>0</v>
      </c>
      <c r="O38" s="231">
        <f>SUM(O34:O37)</f>
        <v>58025</v>
      </c>
    </row>
    <row r="39" spans="1:15" x14ac:dyDescent="0.25">
      <c r="A39" s="33"/>
      <c r="B39" s="53"/>
      <c r="C39" s="91"/>
      <c r="D39" s="90"/>
      <c r="E39" s="135"/>
      <c r="F39" s="90"/>
      <c r="G39" s="136"/>
      <c r="H39" s="90"/>
      <c r="I39" s="137"/>
      <c r="J39" s="90"/>
      <c r="K39" s="199"/>
      <c r="L39" s="42"/>
      <c r="M39" s="222"/>
      <c r="N39" s="222"/>
      <c r="O39" s="229"/>
    </row>
    <row r="40" spans="1:15" x14ac:dyDescent="0.25">
      <c r="A40" s="89" t="s">
        <v>14</v>
      </c>
      <c r="B40" s="53"/>
      <c r="C40" s="91"/>
      <c r="D40" s="90"/>
      <c r="E40" s="135"/>
      <c r="F40" s="90"/>
      <c r="G40" s="136"/>
      <c r="H40" s="90"/>
      <c r="I40" s="137"/>
      <c r="J40" s="90"/>
      <c r="K40" s="199"/>
      <c r="L40" s="42"/>
      <c r="M40" s="222"/>
      <c r="N40" s="222"/>
      <c r="O40" s="229"/>
    </row>
    <row r="41" spans="1:15" x14ac:dyDescent="0.25">
      <c r="A41" s="147" t="s">
        <v>475</v>
      </c>
      <c r="B41" s="43" t="s">
        <v>238</v>
      </c>
      <c r="C41" s="91">
        <v>3476</v>
      </c>
      <c r="D41" s="90">
        <v>3000</v>
      </c>
      <c r="E41" s="135">
        <v>3684.19</v>
      </c>
      <c r="F41" s="90">
        <v>3000</v>
      </c>
      <c r="G41" s="135">
        <v>5014.5200000000004</v>
      </c>
      <c r="H41" s="90">
        <v>3000</v>
      </c>
      <c r="I41" s="137">
        <v>3915.74</v>
      </c>
      <c r="J41" s="90">
        <v>5000</v>
      </c>
      <c r="K41" s="199">
        <v>5000</v>
      </c>
      <c r="L41" s="42"/>
      <c r="M41" s="222">
        <f>K41+(K41*'REVEN&amp;EXP - ALL FUNDS'!$E$5)</f>
        <v>5150</v>
      </c>
      <c r="N41" s="222">
        <v>0</v>
      </c>
      <c r="O41" s="229">
        <f>M41</f>
        <v>5150</v>
      </c>
    </row>
    <row r="42" spans="1:15" ht="16.5" thickBot="1" x14ac:dyDescent="0.3">
      <c r="A42" s="147" t="s">
        <v>476</v>
      </c>
      <c r="B42" s="33" t="s">
        <v>240</v>
      </c>
      <c r="C42" s="94">
        <v>3806</v>
      </c>
      <c r="D42" s="123">
        <v>6000</v>
      </c>
      <c r="E42" s="142">
        <v>2172.83</v>
      </c>
      <c r="F42" s="123">
        <v>6000</v>
      </c>
      <c r="G42" s="142">
        <v>9274.74</v>
      </c>
      <c r="H42" s="123">
        <v>6000</v>
      </c>
      <c r="I42" s="144">
        <v>5785</v>
      </c>
      <c r="J42" s="179">
        <v>9300</v>
      </c>
      <c r="K42" s="200">
        <v>9300</v>
      </c>
      <c r="L42" s="42"/>
      <c r="M42" s="223">
        <v>8500</v>
      </c>
      <c r="N42" s="223">
        <v>0</v>
      </c>
      <c r="O42" s="230">
        <f>M42</f>
        <v>8500</v>
      </c>
    </row>
    <row r="43" spans="1:15" x14ac:dyDescent="0.25">
      <c r="A43" s="33"/>
      <c r="B43" s="53" t="s">
        <v>241</v>
      </c>
      <c r="C43" s="91">
        <f>SUM(C41:C42)</f>
        <v>7282</v>
      </c>
      <c r="D43" s="91">
        <f t="shared" ref="D43" si="8">SUM(D41:D42)</f>
        <v>9000</v>
      </c>
      <c r="E43" s="127">
        <f>SUM(E41:E42)</f>
        <v>5857.02</v>
      </c>
      <c r="F43" s="91">
        <v>9000</v>
      </c>
      <c r="G43" s="127">
        <v>14289.26</v>
      </c>
      <c r="H43" s="91">
        <v>9000</v>
      </c>
      <c r="I43" s="58">
        <f t="shared" ref="I43:J43" si="9">SUM(I41:I42)</f>
        <v>9700.74</v>
      </c>
      <c r="J43" s="91">
        <f t="shared" si="9"/>
        <v>14300</v>
      </c>
      <c r="K43" s="201">
        <f t="shared" ref="K43:M43" si="10">SUM(K41:K42)</f>
        <v>14300</v>
      </c>
      <c r="L43" s="42"/>
      <c r="M43" s="225">
        <f t="shared" si="10"/>
        <v>13650</v>
      </c>
      <c r="N43" s="225">
        <f>SUM(N41:N42)</f>
        <v>0</v>
      </c>
      <c r="O43" s="231">
        <f>SUM(O41:O42)</f>
        <v>13650</v>
      </c>
    </row>
    <row r="44" spans="1:15" x14ac:dyDescent="0.25">
      <c r="A44" s="33"/>
      <c r="B44" s="33"/>
      <c r="C44" s="91"/>
      <c r="D44" s="90"/>
      <c r="E44" s="135"/>
      <c r="F44" s="90"/>
      <c r="G44" s="136"/>
      <c r="H44" s="90"/>
      <c r="I44" s="137"/>
      <c r="J44" s="90"/>
      <c r="K44" s="199"/>
      <c r="L44" s="42"/>
      <c r="M44" s="222"/>
      <c r="N44" s="222"/>
      <c r="O44" s="229"/>
    </row>
    <row r="45" spans="1:15" x14ac:dyDescent="0.25">
      <c r="A45" s="89" t="s">
        <v>11</v>
      </c>
      <c r="B45" s="33"/>
      <c r="C45" s="126"/>
      <c r="D45" s="90"/>
      <c r="E45" s="135"/>
      <c r="F45" s="90"/>
      <c r="G45" s="136"/>
      <c r="H45" s="90"/>
      <c r="I45" s="137"/>
      <c r="J45" s="90"/>
      <c r="K45" s="199"/>
      <c r="L45" s="42"/>
      <c r="M45" s="222"/>
      <c r="N45" s="222"/>
      <c r="O45" s="229"/>
    </row>
    <row r="46" spans="1:15" ht="16.5" thickBot="1" x14ac:dyDescent="0.3">
      <c r="A46" s="147" t="s">
        <v>477</v>
      </c>
      <c r="B46" s="33" t="s">
        <v>56</v>
      </c>
      <c r="C46" s="94">
        <v>800</v>
      </c>
      <c r="D46" s="90">
        <v>800</v>
      </c>
      <c r="E46" s="135">
        <v>800</v>
      </c>
      <c r="F46" s="90">
        <v>800</v>
      </c>
      <c r="G46" s="135">
        <v>800</v>
      </c>
      <c r="H46" s="90">
        <v>0</v>
      </c>
      <c r="I46" s="137"/>
      <c r="J46" s="90">
        <v>0</v>
      </c>
      <c r="K46" s="199">
        <v>0</v>
      </c>
      <c r="L46" s="42"/>
      <c r="M46" s="222">
        <f t="shared" ref="M46" si="11">K46*1.03</f>
        <v>0</v>
      </c>
      <c r="N46" s="222">
        <v>0</v>
      </c>
      <c r="O46" s="229">
        <v>0</v>
      </c>
    </row>
    <row r="47" spans="1:15" x14ac:dyDescent="0.25">
      <c r="A47" s="147" t="s">
        <v>478</v>
      </c>
      <c r="B47" s="33" t="s">
        <v>412</v>
      </c>
      <c r="C47" s="91"/>
      <c r="D47" s="90">
        <v>6000</v>
      </c>
      <c r="E47" s="135">
        <v>11000</v>
      </c>
      <c r="F47" s="90">
        <v>8500</v>
      </c>
      <c r="G47" s="135">
        <v>6000</v>
      </c>
      <c r="H47" s="90">
        <v>8500</v>
      </c>
      <c r="I47" s="137">
        <v>-250</v>
      </c>
      <c r="J47" s="90">
        <v>8500</v>
      </c>
      <c r="K47" s="199">
        <v>8500</v>
      </c>
      <c r="L47" s="42"/>
      <c r="M47" s="222">
        <v>8500</v>
      </c>
      <c r="N47" s="222">
        <v>0</v>
      </c>
      <c r="O47" s="229">
        <f>M47</f>
        <v>8500</v>
      </c>
    </row>
    <row r="48" spans="1:15" ht="16.5" thickBot="1" x14ac:dyDescent="0.3">
      <c r="A48" s="147" t="s">
        <v>479</v>
      </c>
      <c r="B48" s="33" t="s">
        <v>58</v>
      </c>
      <c r="C48" s="91"/>
      <c r="D48" s="123">
        <v>16500</v>
      </c>
      <c r="E48" s="142">
        <v>16346.68</v>
      </c>
      <c r="F48" s="123">
        <v>18849</v>
      </c>
      <c r="G48" s="142">
        <v>16848.64</v>
      </c>
      <c r="H48" s="123">
        <v>20374</v>
      </c>
      <c r="I48" s="144">
        <v>9187.3799999999992</v>
      </c>
      <c r="J48" s="123">
        <v>21363.87</v>
      </c>
      <c r="K48" s="200">
        <v>21363.87</v>
      </c>
      <c r="L48" s="42"/>
      <c r="M48" s="223">
        <f>K48+(K48*'REVEN&amp;EXP - ALL FUNDS'!$E$5)</f>
        <v>22004.786099999998</v>
      </c>
      <c r="N48" s="223">
        <v>0</v>
      </c>
      <c r="O48" s="230">
        <f>M48</f>
        <v>22004.786099999998</v>
      </c>
    </row>
    <row r="49" spans="1:15" x14ac:dyDescent="0.25">
      <c r="A49" s="277" t="s">
        <v>322</v>
      </c>
      <c r="B49" s="277"/>
      <c r="C49" s="91">
        <f>SUM(C46:C46)</f>
        <v>800</v>
      </c>
      <c r="D49" s="91">
        <f t="shared" ref="D49:J49" si="12">SUM(D46:D48)</f>
        <v>23300</v>
      </c>
      <c r="E49" s="127">
        <f t="shared" si="12"/>
        <v>28146.68</v>
      </c>
      <c r="F49" s="91">
        <v>28149</v>
      </c>
      <c r="G49" s="127">
        <v>23648.639999999999</v>
      </c>
      <c r="H49" s="91">
        <v>28874</v>
      </c>
      <c r="I49" s="58">
        <f t="shared" si="12"/>
        <v>8937.3799999999992</v>
      </c>
      <c r="J49" s="91">
        <f t="shared" si="12"/>
        <v>29863.87</v>
      </c>
      <c r="K49" s="201">
        <f t="shared" ref="K49:M49" si="13">SUM(K46:K48)</f>
        <v>29863.87</v>
      </c>
      <c r="L49" s="42"/>
      <c r="M49" s="225">
        <f t="shared" si="13"/>
        <v>30504.786099999998</v>
      </c>
      <c r="N49" s="225">
        <f>SUM(N46:N48)</f>
        <v>0</v>
      </c>
      <c r="O49" s="231">
        <f>SUM(O46:O48)</f>
        <v>30504.786099999998</v>
      </c>
    </row>
    <row r="50" spans="1:15" x14ac:dyDescent="0.25">
      <c r="A50" s="33"/>
      <c r="B50" s="33"/>
      <c r="C50" s="91"/>
      <c r="D50" s="90"/>
      <c r="E50" s="135"/>
      <c r="F50" s="90"/>
      <c r="G50" s="136"/>
      <c r="H50" s="90"/>
      <c r="I50" s="137"/>
      <c r="J50" s="90"/>
      <c r="K50" s="199"/>
      <c r="L50" s="42"/>
      <c r="M50" s="222"/>
      <c r="N50" s="222"/>
      <c r="O50" s="229"/>
    </row>
    <row r="51" spans="1:15" x14ac:dyDescent="0.25">
      <c r="B51" s="106" t="s">
        <v>480</v>
      </c>
      <c r="C51" s="107" t="e">
        <f>#REF!+C17</f>
        <v>#REF!</v>
      </c>
      <c r="D51" s="107">
        <f>+D17+D31+D38+D43+D49</f>
        <v>96325</v>
      </c>
      <c r="E51" s="55">
        <f>+E17+E31+E38+E43+E49</f>
        <v>179325.45999999996</v>
      </c>
      <c r="F51" s="107">
        <v>136333</v>
      </c>
      <c r="G51" s="55">
        <v>258653.07</v>
      </c>
      <c r="H51" s="107">
        <v>176164</v>
      </c>
      <c r="I51" s="56">
        <f>+I17+I31+I38+I43+I49</f>
        <v>130033.48</v>
      </c>
      <c r="J51" s="107">
        <f>+J17+J31+J38+J43+J49</f>
        <v>223710.62</v>
      </c>
      <c r="K51" s="202">
        <f>+K17+K31+K38+K43+K49</f>
        <v>223710.62</v>
      </c>
      <c r="L51" s="42"/>
      <c r="M51" s="240">
        <f>+M17+M31+M38+M43+M49</f>
        <v>210641.93859999999</v>
      </c>
      <c r="N51" s="240">
        <f t="shared" ref="N51:O51" si="14">+N17+N31+N38+N43+N49</f>
        <v>0</v>
      </c>
      <c r="O51" s="243">
        <f t="shared" si="14"/>
        <v>225491.93859999999</v>
      </c>
    </row>
    <row r="53" spans="1:15" hidden="1" x14ac:dyDescent="0.25">
      <c r="A53" s="156" t="s">
        <v>481</v>
      </c>
    </row>
    <row r="54" spans="1:15" ht="29.25" hidden="1" customHeight="1" x14ac:dyDescent="0.25">
      <c r="A54" s="279" t="s">
        <v>482</v>
      </c>
      <c r="B54" s="279"/>
      <c r="C54" s="279"/>
      <c r="D54" s="279"/>
      <c r="E54" s="279"/>
      <c r="F54" s="279"/>
    </row>
    <row r="55" spans="1:15" hidden="1" x14ac:dyDescent="0.25"/>
    <row r="56" spans="1:15" hidden="1" x14ac:dyDescent="0.25">
      <c r="A56" s="184" t="s">
        <v>655</v>
      </c>
      <c r="B56" s="184" t="s">
        <v>656</v>
      </c>
      <c r="C56" s="184"/>
      <c r="D56" s="185"/>
      <c r="E56" s="185"/>
      <c r="F56" s="185"/>
      <c r="G56" s="185"/>
      <c r="H56" s="185"/>
    </row>
    <row r="57" spans="1:15" hidden="1" x14ac:dyDescent="0.25">
      <c r="A57" s="184"/>
      <c r="B57" s="184" t="s">
        <v>657</v>
      </c>
      <c r="C57" s="184"/>
      <c r="D57" s="185"/>
      <c r="E57" s="185"/>
      <c r="F57" s="185"/>
      <c r="G57" s="185"/>
      <c r="H57" s="185"/>
    </row>
    <row r="58" spans="1:15" hidden="1" x14ac:dyDescent="0.25">
      <c r="A58" s="184"/>
      <c r="B58" s="184"/>
      <c r="C58" s="184"/>
      <c r="D58" s="185"/>
      <c r="E58" s="185"/>
      <c r="F58" s="185"/>
      <c r="G58" s="185"/>
      <c r="H58" s="185"/>
    </row>
    <row r="59" spans="1:15" hidden="1" x14ac:dyDescent="0.25">
      <c r="A59" s="187" t="s">
        <v>658</v>
      </c>
      <c r="B59" s="187" t="s">
        <v>659</v>
      </c>
      <c r="C59" s="187"/>
      <c r="D59" s="189"/>
      <c r="E59" s="189"/>
      <c r="F59" s="189"/>
      <c r="G59" s="189"/>
      <c r="H59" s="189"/>
    </row>
    <row r="60" spans="1:15" hidden="1" x14ac:dyDescent="0.25">
      <c r="A60" s="187"/>
      <c r="B60" s="187"/>
      <c r="C60" s="187"/>
      <c r="D60" s="189"/>
      <c r="E60" s="189"/>
      <c r="F60" s="189"/>
      <c r="G60" s="189"/>
      <c r="H60" s="189"/>
    </row>
    <row r="61" spans="1:15" hidden="1" x14ac:dyDescent="0.25">
      <c r="A61" s="187" t="s">
        <v>642</v>
      </c>
      <c r="B61" s="184" t="s">
        <v>661</v>
      </c>
      <c r="C61" s="187"/>
      <c r="D61" s="189"/>
      <c r="E61" s="189"/>
      <c r="F61" s="189"/>
      <c r="G61" s="189"/>
      <c r="H61" s="189"/>
    </row>
    <row r="62" spans="1:15" hidden="1" x14ac:dyDescent="0.25">
      <c r="A62" s="187"/>
      <c r="B62" s="187"/>
      <c r="C62" s="187"/>
      <c r="D62" s="189"/>
      <c r="E62" s="189"/>
      <c r="F62" s="189"/>
      <c r="G62" s="189"/>
      <c r="H62" s="189"/>
    </row>
    <row r="63" spans="1:15" hidden="1" x14ac:dyDescent="0.25">
      <c r="B63" s="184" t="s">
        <v>663</v>
      </c>
    </row>
    <row r="64" spans="1:15" hidden="1" x14ac:dyDescent="0.25"/>
  </sheetData>
  <mergeCells count="3">
    <mergeCell ref="A54:F54"/>
    <mergeCell ref="A49:B49"/>
    <mergeCell ref="A31:B31"/>
  </mergeCells>
  <pageMargins left="0.7" right="0.7" top="0.75" bottom="0.75" header="0.3" footer="0.3"/>
  <pageSetup scale="4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Y41"/>
  <sheetViews>
    <sheetView zoomScale="90" zoomScaleNormal="90" workbookViewId="0">
      <selection activeCell="Q15" sqref="Q15"/>
    </sheetView>
  </sheetViews>
  <sheetFormatPr defaultColWidth="9.140625" defaultRowHeight="15.75" x14ac:dyDescent="0.25"/>
  <cols>
    <col min="1" max="1" width="15" style="34" customWidth="1"/>
    <col min="2" max="2" width="32.5703125" style="34" bestFit="1" customWidth="1"/>
    <col min="3" max="3" width="10.42578125" style="34" hidden="1" customWidth="1"/>
    <col min="4" max="5" width="10.28515625" style="34" hidden="1" customWidth="1"/>
    <col min="6" max="6" width="15" style="34" hidden="1" customWidth="1"/>
    <col min="7" max="8" width="11" style="34" hidden="1" customWidth="1"/>
    <col min="9" max="9" width="11.7109375" style="34" hidden="1" customWidth="1"/>
    <col min="10" max="10" width="3.140625" style="34" hidden="1" customWidth="1"/>
    <col min="11" max="11" width="14.7109375" style="34" customWidth="1"/>
    <col min="12" max="12" width="12.5703125" style="34" customWidth="1"/>
    <col min="13" max="13" width="14.85546875" style="34" customWidth="1"/>
    <col min="14" max="14" width="9.140625" style="33"/>
    <col min="15" max="16384" width="9.140625" style="34"/>
  </cols>
  <sheetData>
    <row r="1" spans="1:25" x14ac:dyDescent="0.25">
      <c r="A1" s="32" t="s">
        <v>563</v>
      </c>
      <c r="B1" s="32"/>
      <c r="C1" s="32"/>
      <c r="D1" s="32"/>
      <c r="E1" s="32"/>
      <c r="F1" s="32" t="s">
        <v>675</v>
      </c>
      <c r="G1" s="213">
        <v>0.03</v>
      </c>
    </row>
    <row r="2" spans="1:25" x14ac:dyDescent="0.25">
      <c r="A2" s="32" t="s">
        <v>564</v>
      </c>
      <c r="B2" s="32"/>
      <c r="C2" s="32"/>
      <c r="D2" s="32"/>
      <c r="E2" s="32"/>
      <c r="F2" s="32"/>
    </row>
    <row r="3" spans="1:25" x14ac:dyDescent="0.25">
      <c r="A3" s="32" t="str">
        <f>+'UF - OPERATIONS'!A3</f>
        <v>FISCAL YEAR 2023-2024</v>
      </c>
      <c r="B3" s="32"/>
      <c r="C3" s="32"/>
      <c r="D3" s="32"/>
      <c r="E3" s="32"/>
      <c r="F3" s="32"/>
    </row>
    <row r="5" spans="1:25" ht="52.5" customHeight="1" thickBot="1" x14ac:dyDescent="0.3">
      <c r="A5" s="79" t="s">
        <v>700</v>
      </c>
      <c r="B5" s="66"/>
      <c r="C5" s="36" t="s">
        <v>1</v>
      </c>
      <c r="D5" s="118" t="s">
        <v>2</v>
      </c>
      <c r="E5" s="171" t="str">
        <f>+'UF - REVENUE'!E5</f>
        <v>2018-19 ACTUAL</v>
      </c>
      <c r="F5" s="120" t="str">
        <f>+'GF - REVENUE'!H5</f>
        <v>FY20-21 BUDGET</v>
      </c>
      <c r="G5" s="122" t="str">
        <f>+'GF - REVENUE'!I5</f>
        <v>FY20-21 ACTUAL</v>
      </c>
      <c r="H5" s="120" t="s">
        <v>670</v>
      </c>
      <c r="I5" s="197" t="s">
        <v>671</v>
      </c>
      <c r="J5" s="42"/>
      <c r="K5" s="37" t="s">
        <v>703</v>
      </c>
      <c r="L5" s="37" t="s">
        <v>687</v>
      </c>
      <c r="M5" s="227" t="s">
        <v>685</v>
      </c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hidden="1" x14ac:dyDescent="0.25">
      <c r="A6" s="33"/>
      <c r="B6" s="33"/>
      <c r="C6" s="33"/>
      <c r="D6" s="33"/>
      <c r="E6" s="33"/>
      <c r="G6" s="71"/>
      <c r="I6" s="198"/>
      <c r="J6" s="42"/>
      <c r="M6" s="228"/>
    </row>
    <row r="7" spans="1:25" hidden="1" x14ac:dyDescent="0.25">
      <c r="A7" s="39" t="s">
        <v>195</v>
      </c>
      <c r="B7" s="33"/>
      <c r="C7" s="33"/>
      <c r="D7" s="33"/>
      <c r="E7" s="33"/>
      <c r="G7" s="71"/>
      <c r="I7" s="198"/>
      <c r="J7" s="42"/>
      <c r="M7" s="228"/>
    </row>
    <row r="8" spans="1:25" hidden="1" x14ac:dyDescent="0.25">
      <c r="A8" s="139">
        <v>16</v>
      </c>
      <c r="B8" s="106" t="s">
        <v>424</v>
      </c>
      <c r="C8" s="33"/>
      <c r="D8" s="33"/>
      <c r="E8" s="33"/>
      <c r="G8" s="71"/>
      <c r="I8" s="198"/>
      <c r="J8" s="42"/>
      <c r="M8" s="228"/>
    </row>
    <row r="9" spans="1:25" hidden="1" x14ac:dyDescent="0.25">
      <c r="A9" s="33"/>
      <c r="B9" s="33"/>
      <c r="C9" s="33"/>
      <c r="D9" s="33"/>
      <c r="E9" s="33"/>
      <c r="F9" s="116"/>
      <c r="G9" s="71"/>
      <c r="I9" s="198"/>
      <c r="J9" s="42"/>
      <c r="M9" s="228"/>
    </row>
    <row r="10" spans="1:25" x14ac:dyDescent="0.25">
      <c r="A10" s="89" t="s">
        <v>198</v>
      </c>
      <c r="B10" s="33"/>
      <c r="C10" s="33"/>
      <c r="D10" s="33"/>
      <c r="E10" s="33"/>
      <c r="G10" s="71"/>
      <c r="I10" s="198"/>
      <c r="J10" s="42"/>
      <c r="M10" s="228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5" x14ac:dyDescent="0.25">
      <c r="A11" s="147" t="s">
        <v>553</v>
      </c>
      <c r="B11" s="33" t="s">
        <v>200</v>
      </c>
      <c r="C11" s="91">
        <v>23365.87</v>
      </c>
      <c r="D11" s="90">
        <v>0</v>
      </c>
      <c r="E11" s="90">
        <v>0</v>
      </c>
      <c r="F11" s="90">
        <v>34320</v>
      </c>
      <c r="G11" s="137">
        <v>22502</v>
      </c>
      <c r="H11" s="90">
        <v>40310</v>
      </c>
      <c r="I11" s="199">
        <f>H11</f>
        <v>40310</v>
      </c>
      <c r="J11" s="42"/>
      <c r="K11" s="222">
        <v>43680</v>
      </c>
      <c r="L11" s="222">
        <v>0</v>
      </c>
      <c r="M11" s="229">
        <f>(K11*3%)+K11</f>
        <v>44990.400000000001</v>
      </c>
      <c r="O11" s="212"/>
    </row>
    <row r="12" spans="1:25" x14ac:dyDescent="0.25">
      <c r="A12" s="147" t="s">
        <v>554</v>
      </c>
      <c r="B12" s="33" t="s">
        <v>249</v>
      </c>
      <c r="C12" s="91">
        <v>2235.56</v>
      </c>
      <c r="D12" s="90">
        <v>0</v>
      </c>
      <c r="E12" s="90">
        <v>0</v>
      </c>
      <c r="F12" s="90">
        <v>1000</v>
      </c>
      <c r="G12" s="137">
        <v>124.7</v>
      </c>
      <c r="H12" s="90">
        <v>1000</v>
      </c>
      <c r="I12" s="199">
        <f t="shared" ref="I12:I18" si="0">H12</f>
        <v>1000</v>
      </c>
      <c r="J12" s="42"/>
      <c r="K12" s="222">
        <f>I12+(I12*'REVEN&amp;EXP - ALL FUNDS'!$E$5)</f>
        <v>1030</v>
      </c>
      <c r="L12" s="222">
        <v>0</v>
      </c>
      <c r="M12" s="229">
        <f t="shared" ref="M12:M18" si="1">(K12*3%)+K12</f>
        <v>1060.9000000000001</v>
      </c>
    </row>
    <row r="13" spans="1:25" x14ac:dyDescent="0.25">
      <c r="A13" s="147" t="s">
        <v>555</v>
      </c>
      <c r="B13" s="33" t="s">
        <v>202</v>
      </c>
      <c r="C13" s="91">
        <f>((10.75+0.88)*12)/2</f>
        <v>69.78</v>
      </c>
      <c r="D13" s="90">
        <v>0</v>
      </c>
      <c r="E13" s="90">
        <v>0</v>
      </c>
      <c r="F13" s="90">
        <v>100</v>
      </c>
      <c r="G13" s="137">
        <v>17.55</v>
      </c>
      <c r="H13" s="90">
        <v>70</v>
      </c>
      <c r="I13" s="199">
        <f t="shared" si="0"/>
        <v>70</v>
      </c>
      <c r="J13" s="42"/>
      <c r="K13" s="222">
        <f>I13+(I13*'REVEN&amp;EXP - ALL FUNDS'!$E$5)</f>
        <v>72.099999999999994</v>
      </c>
      <c r="L13" s="222">
        <v>0</v>
      </c>
      <c r="M13" s="229">
        <f t="shared" si="1"/>
        <v>74.262999999999991</v>
      </c>
    </row>
    <row r="14" spans="1:25" x14ac:dyDescent="0.25">
      <c r="A14" s="147" t="s">
        <v>556</v>
      </c>
      <c r="B14" s="33" t="s">
        <v>204</v>
      </c>
      <c r="C14" s="91">
        <v>0</v>
      </c>
      <c r="D14" s="90">
        <v>0</v>
      </c>
      <c r="E14" s="90">
        <v>0</v>
      </c>
      <c r="F14" s="90">
        <v>512.14</v>
      </c>
      <c r="G14" s="137">
        <v>312.64</v>
      </c>
      <c r="H14" s="90">
        <v>600</v>
      </c>
      <c r="I14" s="199">
        <f t="shared" si="0"/>
        <v>600</v>
      </c>
      <c r="J14" s="42"/>
      <c r="K14" s="222">
        <f>I14+(I14*'REVEN&amp;EXP - ALL FUNDS'!$E$5)</f>
        <v>618</v>
      </c>
      <c r="L14" s="222">
        <v>0</v>
      </c>
      <c r="M14" s="229">
        <f t="shared" si="1"/>
        <v>636.54</v>
      </c>
    </row>
    <row r="15" spans="1:25" x14ac:dyDescent="0.25">
      <c r="A15" s="147" t="s">
        <v>558</v>
      </c>
      <c r="B15" s="33" t="s">
        <v>208</v>
      </c>
      <c r="C15" s="91">
        <f>(C10+C11)*6.25%</f>
        <v>1460.3668749999999</v>
      </c>
      <c r="D15" s="90">
        <v>0</v>
      </c>
      <c r="E15" s="90">
        <v>0</v>
      </c>
      <c r="F15" s="90">
        <v>1971</v>
      </c>
      <c r="G15" s="137">
        <v>1268.3499999999999</v>
      </c>
      <c r="H15" s="90">
        <v>2041</v>
      </c>
      <c r="I15" s="199">
        <f t="shared" si="0"/>
        <v>2041</v>
      </c>
      <c r="J15" s="42"/>
      <c r="K15" s="222">
        <f>I15+(I15*'REVEN&amp;EXP - ALL FUNDS'!$E$5)</f>
        <v>2102.23</v>
      </c>
      <c r="L15" s="222">
        <v>0</v>
      </c>
      <c r="M15" s="229">
        <f t="shared" si="1"/>
        <v>2165.2968999999998</v>
      </c>
    </row>
    <row r="16" spans="1:25" x14ac:dyDescent="0.25">
      <c r="A16" s="147" t="s">
        <v>559</v>
      </c>
      <c r="B16" s="33" t="s">
        <v>210</v>
      </c>
      <c r="C16" s="91">
        <f>(728.72*12)/2</f>
        <v>4372.32</v>
      </c>
      <c r="D16" s="90">
        <v>0</v>
      </c>
      <c r="E16" s="90">
        <v>0</v>
      </c>
      <c r="F16" s="90">
        <v>9199</v>
      </c>
      <c r="G16" s="137">
        <v>2339.16</v>
      </c>
      <c r="H16" s="90">
        <v>9543</v>
      </c>
      <c r="I16" s="199">
        <f t="shared" si="0"/>
        <v>9543</v>
      </c>
      <c r="J16" s="42"/>
      <c r="K16" s="222">
        <f>I16+(I16*'REVEN&amp;EXP - ALL FUNDS'!$E$5)</f>
        <v>9829.2900000000009</v>
      </c>
      <c r="L16" s="222">
        <v>0</v>
      </c>
      <c r="M16" s="229">
        <v>10729</v>
      </c>
    </row>
    <row r="17" spans="1:13" x14ac:dyDescent="0.25">
      <c r="A17" s="147" t="s">
        <v>560</v>
      </c>
      <c r="B17" s="33" t="s">
        <v>212</v>
      </c>
      <c r="C17" s="91">
        <v>0</v>
      </c>
      <c r="D17" s="90">
        <v>0</v>
      </c>
      <c r="E17" s="90">
        <v>0</v>
      </c>
      <c r="F17" s="90">
        <v>2286</v>
      </c>
      <c r="G17" s="137">
        <v>109.48</v>
      </c>
      <c r="H17" s="90">
        <v>137</v>
      </c>
      <c r="I17" s="199">
        <f t="shared" si="0"/>
        <v>137</v>
      </c>
      <c r="J17" s="42"/>
      <c r="K17" s="222">
        <f>I17+(I17*'REVEN&amp;EXP - ALL FUNDS'!$E$5)</f>
        <v>141.11000000000001</v>
      </c>
      <c r="L17" s="222">
        <v>0</v>
      </c>
      <c r="M17" s="229">
        <f t="shared" si="1"/>
        <v>145.3433</v>
      </c>
    </row>
    <row r="18" spans="1:13" ht="16.5" thickBot="1" x14ac:dyDescent="0.3">
      <c r="A18" s="33" t="s">
        <v>557</v>
      </c>
      <c r="B18" s="33" t="s">
        <v>206</v>
      </c>
      <c r="C18" s="94"/>
      <c r="D18" s="123">
        <v>0</v>
      </c>
      <c r="E18" s="123">
        <v>0</v>
      </c>
      <c r="F18" s="123">
        <v>2127.84</v>
      </c>
      <c r="G18" s="144">
        <v>1286.6199999999999</v>
      </c>
      <c r="H18" s="123">
        <v>2561</v>
      </c>
      <c r="I18" s="200">
        <f t="shared" si="0"/>
        <v>2561</v>
      </c>
      <c r="J18" s="42"/>
      <c r="K18" s="223">
        <f>I18+(I18*'REVEN&amp;EXP - ALL FUNDS'!$E$5)</f>
        <v>2637.83</v>
      </c>
      <c r="L18" s="223">
        <v>0</v>
      </c>
      <c r="M18" s="230">
        <f t="shared" si="1"/>
        <v>2716.9648999999999</v>
      </c>
    </row>
    <row r="19" spans="1:13" x14ac:dyDescent="0.25">
      <c r="A19" s="277" t="s">
        <v>213</v>
      </c>
      <c r="B19" s="277"/>
      <c r="C19" s="91">
        <f>SUM(C11:C18)</f>
        <v>31503.896874999999</v>
      </c>
      <c r="D19" s="91">
        <f>SUM(D11:D18)</f>
        <v>0</v>
      </c>
      <c r="E19" s="91">
        <v>0</v>
      </c>
      <c r="F19" s="91">
        <v>51515.979999999996</v>
      </c>
      <c r="G19" s="58">
        <f t="shared" ref="G19" si="2">SUM(G11:G18)</f>
        <v>27960.499999999996</v>
      </c>
      <c r="H19" s="91">
        <f t="shared" ref="H19" si="3">SUM(H11:H18)</f>
        <v>56262</v>
      </c>
      <c r="I19" s="201">
        <f t="shared" ref="I19:K19" si="4">SUM(I11:I18)</f>
        <v>56262</v>
      </c>
      <c r="J19" s="42"/>
      <c r="K19" s="225">
        <f t="shared" si="4"/>
        <v>60110.560000000005</v>
      </c>
      <c r="L19" s="225">
        <f>SUM(L11:L18)</f>
        <v>0</v>
      </c>
      <c r="M19" s="231">
        <f>SUM(M11:M18)</f>
        <v>62518.708100000003</v>
      </c>
    </row>
    <row r="20" spans="1:13" x14ac:dyDescent="0.25">
      <c r="A20" s="33"/>
      <c r="B20" s="33"/>
      <c r="C20" s="126"/>
      <c r="D20" s="90"/>
      <c r="E20" s="90"/>
      <c r="F20" s="90"/>
      <c r="G20" s="137"/>
      <c r="H20" s="90"/>
      <c r="I20" s="198"/>
      <c r="J20" s="42"/>
      <c r="K20" s="222"/>
      <c r="L20" s="222"/>
      <c r="M20" s="229"/>
    </row>
    <row r="21" spans="1:13" hidden="1" x14ac:dyDescent="0.25">
      <c r="A21" s="89" t="s">
        <v>10</v>
      </c>
      <c r="B21" s="33"/>
      <c r="C21" s="126"/>
      <c r="D21" s="90"/>
      <c r="E21" s="90"/>
      <c r="F21" s="90"/>
      <c r="G21" s="137"/>
      <c r="H21" s="90"/>
      <c r="I21" s="198"/>
      <c r="J21" s="42"/>
      <c r="K21" s="222"/>
      <c r="L21" s="222"/>
      <c r="M21" s="229"/>
    </row>
    <row r="22" spans="1:13" ht="16.5" hidden="1" thickBot="1" x14ac:dyDescent="0.3">
      <c r="A22" s="147" t="s">
        <v>279</v>
      </c>
      <c r="B22" s="33" t="s">
        <v>280</v>
      </c>
      <c r="C22" s="94">
        <v>38640.639999999999</v>
      </c>
      <c r="D22" s="123">
        <v>0</v>
      </c>
      <c r="E22" s="123"/>
      <c r="F22" s="123">
        <v>0</v>
      </c>
      <c r="G22" s="144">
        <v>0</v>
      </c>
      <c r="H22" s="123">
        <v>0</v>
      </c>
      <c r="I22" s="198"/>
      <c r="J22" s="42"/>
      <c r="K22" s="222"/>
      <c r="L22" s="222"/>
      <c r="M22" s="229"/>
    </row>
    <row r="23" spans="1:13" hidden="1" x14ac:dyDescent="0.25">
      <c r="A23" s="33"/>
      <c r="B23" s="39" t="s">
        <v>218</v>
      </c>
      <c r="C23" s="91">
        <f>SUM(C22:C22)</f>
        <v>38640.639999999999</v>
      </c>
      <c r="D23" s="90">
        <f>SUM(D22:D22)</f>
        <v>0</v>
      </c>
      <c r="E23" s="90"/>
      <c r="F23" s="90">
        <v>0</v>
      </c>
      <c r="G23" s="137">
        <f t="shared" ref="G23" si="5">SUM(G22)</f>
        <v>0</v>
      </c>
      <c r="H23" s="90">
        <f t="shared" ref="H23" si="6">SUM(H22)</f>
        <v>0</v>
      </c>
      <c r="I23" s="198"/>
      <c r="J23" s="42"/>
      <c r="K23" s="222"/>
      <c r="L23" s="222"/>
      <c r="M23" s="229"/>
    </row>
    <row r="24" spans="1:13" hidden="1" x14ac:dyDescent="0.25">
      <c r="A24" s="33"/>
      <c r="B24" s="33"/>
      <c r="C24" s="91"/>
      <c r="D24" s="90"/>
      <c r="E24" s="90"/>
      <c r="F24" s="90"/>
      <c r="G24" s="137"/>
      <c r="H24" s="90"/>
      <c r="I24" s="198"/>
      <c r="J24" s="42"/>
      <c r="K24" s="222"/>
      <c r="L24" s="222"/>
      <c r="M24" s="229"/>
    </row>
    <row r="25" spans="1:13" x14ac:dyDescent="0.25">
      <c r="A25" s="89" t="s">
        <v>12</v>
      </c>
      <c r="B25" s="33"/>
      <c r="C25" s="91"/>
      <c r="D25" s="90"/>
      <c r="E25" s="90"/>
      <c r="F25" s="90"/>
      <c r="G25" s="137"/>
      <c r="H25" s="90"/>
      <c r="I25" s="198"/>
      <c r="J25" s="42"/>
      <c r="K25" s="222"/>
      <c r="L25" s="222"/>
      <c r="M25" s="229"/>
    </row>
    <row r="26" spans="1:13" hidden="1" x14ac:dyDescent="0.25">
      <c r="A26" s="150" t="s">
        <v>281</v>
      </c>
      <c r="B26" s="57" t="s">
        <v>261</v>
      </c>
      <c r="C26" s="127">
        <v>0</v>
      </c>
      <c r="D26" s="135">
        <v>0</v>
      </c>
      <c r="E26" s="135"/>
      <c r="F26" s="135"/>
      <c r="G26" s="137"/>
      <c r="H26" s="135"/>
      <c r="I26" s="198"/>
      <c r="J26" s="42"/>
      <c r="K26" s="222"/>
      <c r="L26" s="222"/>
      <c r="M26" s="229"/>
    </row>
    <row r="27" spans="1:13" x14ac:dyDescent="0.25">
      <c r="A27" s="147" t="s">
        <v>561</v>
      </c>
      <c r="B27" s="33" t="s">
        <v>222</v>
      </c>
      <c r="C27" s="91">
        <v>0</v>
      </c>
      <c r="D27" s="90">
        <v>0</v>
      </c>
      <c r="E27" s="90">
        <v>0</v>
      </c>
      <c r="F27" s="90">
        <v>1000</v>
      </c>
      <c r="G27" s="137">
        <v>280</v>
      </c>
      <c r="H27" s="90">
        <v>1000</v>
      </c>
      <c r="I27" s="199">
        <f t="shared" ref="I27:I31" si="7">H27</f>
        <v>1000</v>
      </c>
      <c r="J27" s="42"/>
      <c r="K27" s="222">
        <f>I27+(I27*'REVEN&amp;EXP - ALL FUNDS'!$E$5)</f>
        <v>1030</v>
      </c>
      <c r="L27" s="222">
        <v>0</v>
      </c>
      <c r="M27" s="229">
        <f>K27</f>
        <v>1030</v>
      </c>
    </row>
    <row r="28" spans="1:13" hidden="1" x14ac:dyDescent="0.25">
      <c r="A28" s="147" t="s">
        <v>283</v>
      </c>
      <c r="B28" s="33" t="s">
        <v>222</v>
      </c>
      <c r="C28" s="91">
        <v>0</v>
      </c>
      <c r="D28" s="90"/>
      <c r="E28" s="90"/>
      <c r="F28" s="90"/>
      <c r="G28" s="137"/>
      <c r="H28" s="90"/>
      <c r="I28" s="199">
        <f t="shared" si="7"/>
        <v>0</v>
      </c>
      <c r="J28" s="42"/>
      <c r="K28" s="222">
        <f>I28+(I28*'REVEN&amp;EXP - ALL FUNDS'!$E$5)</f>
        <v>0</v>
      </c>
      <c r="L28" s="222"/>
      <c r="M28" s="229">
        <f t="shared" ref="M28:M29" si="8">K28</f>
        <v>0</v>
      </c>
    </row>
    <row r="29" spans="1:13" ht="16.5" thickBot="1" x14ac:dyDescent="0.3">
      <c r="A29" s="147" t="s">
        <v>562</v>
      </c>
      <c r="B29" s="33" t="s">
        <v>224</v>
      </c>
      <c r="C29" s="91">
        <v>0</v>
      </c>
      <c r="D29" s="123">
        <v>0</v>
      </c>
      <c r="E29" s="123">
        <v>0</v>
      </c>
      <c r="F29" s="90">
        <v>1000</v>
      </c>
      <c r="G29" s="137">
        <v>358.19</v>
      </c>
      <c r="H29" s="90">
        <v>1000</v>
      </c>
      <c r="I29" s="199">
        <f t="shared" si="7"/>
        <v>1000</v>
      </c>
      <c r="J29" s="42"/>
      <c r="K29" s="222">
        <f>I29+(I29*'REVEN&amp;EXP - ALL FUNDS'!$E$5)</f>
        <v>1030</v>
      </c>
      <c r="L29" s="222">
        <v>0</v>
      </c>
      <c r="M29" s="229">
        <f t="shared" si="8"/>
        <v>1030</v>
      </c>
    </row>
    <row r="30" spans="1:13" ht="16.5" thickBot="1" x14ac:dyDescent="0.3">
      <c r="A30" s="147" t="s">
        <v>633</v>
      </c>
      <c r="B30" s="33" t="s">
        <v>466</v>
      </c>
      <c r="C30" s="91"/>
      <c r="D30" s="123"/>
      <c r="E30" s="123"/>
      <c r="F30" s="90"/>
      <c r="G30" s="137"/>
      <c r="H30" s="172">
        <v>3400</v>
      </c>
      <c r="I30" s="199">
        <f t="shared" si="7"/>
        <v>3400</v>
      </c>
      <c r="J30" s="42"/>
      <c r="K30" s="222">
        <f>I30+(I30*'REVEN&amp;EXP - ALL FUNDS'!$E$5)</f>
        <v>3502</v>
      </c>
      <c r="L30" s="222">
        <v>0</v>
      </c>
      <c r="M30" s="229">
        <v>1500</v>
      </c>
    </row>
    <row r="31" spans="1:13" ht="16.5" thickBot="1" x14ac:dyDescent="0.3">
      <c r="A31" s="147" t="s">
        <v>626</v>
      </c>
      <c r="B31" s="33" t="s">
        <v>351</v>
      </c>
      <c r="C31" s="94"/>
      <c r="D31" s="123"/>
      <c r="E31" s="123"/>
      <c r="F31" s="123"/>
      <c r="G31" s="144"/>
      <c r="H31" s="123">
        <v>500</v>
      </c>
      <c r="I31" s="200">
        <f t="shared" si="7"/>
        <v>500</v>
      </c>
      <c r="J31" s="42"/>
      <c r="K31" s="223">
        <f>I31+(I31*'REVEN&amp;EXP - ALL FUNDS'!$E$5)</f>
        <v>515</v>
      </c>
      <c r="L31" s="223">
        <v>0</v>
      </c>
      <c r="M31" s="230">
        <v>360</v>
      </c>
    </row>
    <row r="32" spans="1:13" x14ac:dyDescent="0.25">
      <c r="A32" s="277" t="s">
        <v>227</v>
      </c>
      <c r="B32" s="277"/>
      <c r="C32" s="91">
        <f>SUM(C26:C31)</f>
        <v>0</v>
      </c>
      <c r="D32" s="91">
        <f>SUM(D26:D31)</f>
        <v>0</v>
      </c>
      <c r="E32" s="91">
        <v>0</v>
      </c>
      <c r="F32" s="91">
        <v>2000</v>
      </c>
      <c r="G32" s="58">
        <f>SUM(G26:G31)</f>
        <v>638.19000000000005</v>
      </c>
      <c r="H32" s="91">
        <f>SUM(H26:H31)</f>
        <v>5900</v>
      </c>
      <c r="I32" s="201">
        <f t="shared" ref="I32" si="9">SUM(I26:I31)</f>
        <v>5900</v>
      </c>
      <c r="J32" s="42"/>
      <c r="K32" s="225">
        <f>SUM(K27:K31)</f>
        <v>6077</v>
      </c>
      <c r="L32" s="225">
        <f>SUM(L27:L31)</f>
        <v>0</v>
      </c>
      <c r="M32" s="231">
        <f>SUM(M27:M31)</f>
        <v>3920</v>
      </c>
    </row>
    <row r="33" spans="1:13" x14ac:dyDescent="0.25">
      <c r="A33" s="33"/>
      <c r="B33" s="33"/>
      <c r="C33" s="91"/>
      <c r="D33" s="90"/>
      <c r="E33" s="90"/>
      <c r="F33" s="90"/>
      <c r="G33" s="137"/>
      <c r="H33" s="90"/>
      <c r="I33" s="199"/>
      <c r="J33" s="42"/>
      <c r="K33" s="222"/>
      <c r="L33" s="222"/>
      <c r="M33" s="229"/>
    </row>
    <row r="34" spans="1:13" x14ac:dyDescent="0.25">
      <c r="B34" s="153" t="s">
        <v>286</v>
      </c>
      <c r="C34" s="107">
        <f>C19+C23+C32</f>
        <v>70144.536874999991</v>
      </c>
      <c r="D34" s="107">
        <f>D19+D23+D32</f>
        <v>0</v>
      </c>
      <c r="E34" s="107">
        <v>0</v>
      </c>
      <c r="F34" s="107">
        <v>53515.979999999996</v>
      </c>
      <c r="G34" s="56">
        <f>G19+G23+G32</f>
        <v>28598.689999999995</v>
      </c>
      <c r="H34" s="107">
        <f>H19+H23+H32</f>
        <v>62162</v>
      </c>
      <c r="I34" s="202">
        <f t="shared" ref="I34:M34" si="10">I19+I23+I32</f>
        <v>62162</v>
      </c>
      <c r="J34" s="42"/>
      <c r="K34" s="240">
        <f t="shared" si="10"/>
        <v>66187.56</v>
      </c>
      <c r="L34" s="240">
        <f t="shared" si="10"/>
        <v>0</v>
      </c>
      <c r="M34" s="243">
        <f t="shared" si="10"/>
        <v>66438.708100000003</v>
      </c>
    </row>
    <row r="36" spans="1:13" hidden="1" x14ac:dyDescent="0.25">
      <c r="A36" s="156" t="s">
        <v>287</v>
      </c>
    </row>
    <row r="37" spans="1:13" ht="126.75" hidden="1" customHeight="1" x14ac:dyDescent="0.25">
      <c r="A37" s="279" t="s">
        <v>288</v>
      </c>
      <c r="B37" s="279"/>
      <c r="C37" s="279"/>
      <c r="D37" s="279"/>
      <c r="E37" s="161"/>
      <c r="G37" s="163"/>
      <c r="H37" s="163"/>
      <c r="I37" s="163"/>
      <c r="J37" s="163"/>
      <c r="K37" s="163"/>
    </row>
    <row r="38" spans="1:13" hidden="1" x14ac:dyDescent="0.25"/>
    <row r="39" spans="1:13" hidden="1" x14ac:dyDescent="0.25">
      <c r="B39" s="287" t="s">
        <v>652</v>
      </c>
      <c r="C39" s="287"/>
      <c r="D39" s="287"/>
      <c r="E39" s="287"/>
      <c r="F39" s="287"/>
    </row>
    <row r="40" spans="1:13" hidden="1" x14ac:dyDescent="0.25">
      <c r="B40" s="40"/>
      <c r="C40" s="40"/>
      <c r="D40" s="40"/>
      <c r="E40" s="40"/>
      <c r="F40" s="40"/>
    </row>
    <row r="41" spans="1:13" hidden="1" x14ac:dyDescent="0.25">
      <c r="B41" s="184" t="s">
        <v>660</v>
      </c>
      <c r="C41" s="184"/>
      <c r="D41" s="185"/>
      <c r="E41" s="185"/>
    </row>
  </sheetData>
  <sortState ref="A14:I18">
    <sortCondition ref="A14"/>
  </sortState>
  <mergeCells count="5">
    <mergeCell ref="A19:B19"/>
    <mergeCell ref="A32:B32"/>
    <mergeCell ref="A37:D37"/>
    <mergeCell ref="B39:F39"/>
    <mergeCell ref="N5:Y5"/>
  </mergeCells>
  <pageMargins left="0.7" right="0.7" top="0.75" bottom="0.75" header="0.3" footer="0.3"/>
  <pageSetup scale="45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O47"/>
  <sheetViews>
    <sheetView zoomScaleNormal="100" workbookViewId="0">
      <selection activeCell="M4" sqref="M4"/>
    </sheetView>
  </sheetViews>
  <sheetFormatPr defaultColWidth="9.140625" defaultRowHeight="15.75" x14ac:dyDescent="0.25"/>
  <cols>
    <col min="1" max="1" width="31.5703125" style="34" customWidth="1"/>
    <col min="2" max="2" width="12.42578125" style="34" hidden="1" customWidth="1"/>
    <col min="3" max="3" width="11.7109375" style="78" hidden="1" customWidth="1"/>
    <col min="4" max="4" width="12.85546875" style="78" hidden="1" customWidth="1"/>
    <col min="5" max="5" width="14.5703125" style="78" hidden="1" customWidth="1"/>
    <col min="6" max="6" width="14.28515625" style="78" hidden="1" customWidth="1"/>
    <col min="7" max="7" width="17.42578125" style="78" hidden="1" customWidth="1"/>
    <col min="8" max="8" width="15" style="78" hidden="1" customWidth="1"/>
    <col min="9" max="9" width="18.42578125" style="78" hidden="1" customWidth="1"/>
    <col min="10" max="10" width="12.28515625" style="78" hidden="1" customWidth="1"/>
    <col min="11" max="11" width="14.28515625" style="33" hidden="1" customWidth="1"/>
    <col min="12" max="12" width="3.5703125" style="34" hidden="1" customWidth="1"/>
    <col min="13" max="13" width="14.28515625" style="34" customWidth="1"/>
    <col min="14" max="14" width="12.85546875" style="34" customWidth="1"/>
    <col min="15" max="15" width="14.28515625" style="34" customWidth="1"/>
    <col min="16" max="16384" width="9.140625" style="34"/>
  </cols>
  <sheetData>
    <row r="1" spans="1:15" ht="18.75" customHeight="1" x14ac:dyDescent="0.25">
      <c r="A1" s="32" t="s">
        <v>563</v>
      </c>
      <c r="B1" s="35"/>
      <c r="C1" s="35"/>
      <c r="D1" s="35"/>
      <c r="E1" s="35"/>
      <c r="F1" s="35"/>
      <c r="G1" s="271" t="s">
        <v>673</v>
      </c>
      <c r="H1" s="272"/>
      <c r="I1" s="272"/>
      <c r="J1" s="273"/>
    </row>
    <row r="2" spans="1:15" ht="16.5" thickBot="1" x14ac:dyDescent="0.3">
      <c r="A2" s="32" t="s">
        <v>564</v>
      </c>
      <c r="B2" s="35"/>
      <c r="C2" s="35"/>
      <c r="D2" s="35"/>
      <c r="E2" s="35"/>
      <c r="F2" s="35"/>
      <c r="G2" s="274"/>
      <c r="H2" s="275"/>
      <c r="I2" s="275"/>
      <c r="J2" s="276"/>
    </row>
    <row r="3" spans="1:15" x14ac:dyDescent="0.25">
      <c r="A3" s="32" t="str">
        <f>+'REVEN&amp;EXP - ALL FUNDS'!A3</f>
        <v>FISCAL YEAR 2023-2024</v>
      </c>
      <c r="B3" s="35"/>
      <c r="C3" s="35"/>
      <c r="D3" s="35"/>
      <c r="E3" s="35"/>
      <c r="F3" s="35"/>
      <c r="G3" s="35"/>
      <c r="H3" s="35"/>
      <c r="I3" s="35"/>
      <c r="J3" s="35"/>
    </row>
    <row r="5" spans="1:15" ht="51.75" customHeight="1" thickBot="1" x14ac:dyDescent="0.3">
      <c r="A5" s="79" t="s">
        <v>33</v>
      </c>
      <c r="B5" s="36" t="s">
        <v>1</v>
      </c>
      <c r="C5" s="80" t="s">
        <v>2</v>
      </c>
      <c r="D5" s="81" t="str">
        <f>+'GF - REVENUE'!E5</f>
        <v>2018-19 ACTUAL</v>
      </c>
      <c r="E5" s="82" t="str">
        <f>+'REVEN&amp;EXP - ALL FUNDS'!E8</f>
        <v>FY19-20 BUDGET</v>
      </c>
      <c r="F5" s="82" t="s">
        <v>23</v>
      </c>
      <c r="G5" s="83" t="str">
        <f>+'REVEN&amp;EXP - ALL FUNDS'!F8</f>
        <v>FY19-20 ACTUAL</v>
      </c>
      <c r="H5" s="82" t="str">
        <f>+'REVEN&amp;EXP - ALL FUNDS'!G8</f>
        <v>FY20-21 BUDGET</v>
      </c>
      <c r="I5" s="84" t="str">
        <f>+'REVEN&amp;EXP - ALL FUNDS'!H8</f>
        <v>FY20-21 ACTUAL</v>
      </c>
      <c r="J5" s="82" t="str">
        <f>+'REVEN&amp;EXP - ALL FUNDS'!I8</f>
        <v>FY21-22 BUDGET</v>
      </c>
      <c r="K5" s="37" t="str">
        <f>+'REVEN&amp;EXP - ALL FUNDS'!J8</f>
        <v>FY21-22 ACTUAL</v>
      </c>
      <c r="L5" s="42"/>
      <c r="M5" s="120" t="s">
        <v>703</v>
      </c>
      <c r="N5" s="37" t="s">
        <v>687</v>
      </c>
      <c r="O5" s="227" t="s">
        <v>685</v>
      </c>
    </row>
    <row r="6" spans="1:15" x14ac:dyDescent="0.25">
      <c r="A6" s="33"/>
      <c r="B6" s="33"/>
      <c r="C6" s="85"/>
      <c r="D6" s="86"/>
      <c r="E6" s="85"/>
      <c r="G6" s="87"/>
      <c r="H6" s="85"/>
      <c r="I6" s="88"/>
      <c r="J6" s="85"/>
      <c r="L6" s="42"/>
      <c r="N6" s="33"/>
      <c r="O6" s="232"/>
    </row>
    <row r="7" spans="1:15" ht="15.75" customHeight="1" x14ac:dyDescent="0.25">
      <c r="A7" s="89" t="s">
        <v>35</v>
      </c>
      <c r="B7" s="33"/>
      <c r="C7" s="85"/>
      <c r="D7" s="86"/>
      <c r="E7" s="85"/>
      <c r="G7" s="87"/>
      <c r="H7" s="85"/>
      <c r="I7" s="88"/>
      <c r="J7" s="85"/>
      <c r="L7" s="42"/>
      <c r="N7" s="33"/>
      <c r="O7" s="232"/>
    </row>
    <row r="8" spans="1:15" x14ac:dyDescent="0.25">
      <c r="A8" s="33" t="s">
        <v>36</v>
      </c>
      <c r="B8" s="91">
        <f>'GF - REVENUE'!C13</f>
        <v>364846</v>
      </c>
      <c r="C8" s="85">
        <f>'GF - REVENUE'!D13</f>
        <v>351000</v>
      </c>
      <c r="D8" s="86">
        <f>+'GF - REVENUE'!E13</f>
        <v>459447.45999999996</v>
      </c>
      <c r="E8" s="85">
        <v>392721</v>
      </c>
      <c r="G8" s="86">
        <v>519093.56000000006</v>
      </c>
      <c r="H8" s="85">
        <v>415970</v>
      </c>
      <c r="I8" s="92">
        <f>'GF - REVENUE'!I13</f>
        <v>504712.54</v>
      </c>
      <c r="J8" s="85">
        <f>'GF - REVENUE'!J13</f>
        <v>552344</v>
      </c>
      <c r="K8" s="85">
        <f>'GF - REVENUE'!K13</f>
        <v>553543</v>
      </c>
      <c r="L8" s="42"/>
      <c r="M8" s="222">
        <f>'GF - REVENUE'!L13</f>
        <v>648046.95000000007</v>
      </c>
      <c r="N8" s="222">
        <f>'GF - REVENUE'!M13</f>
        <v>0</v>
      </c>
      <c r="O8" s="229">
        <f>'GF - REVENUE'!N13</f>
        <v>717159.45850000007</v>
      </c>
    </row>
    <row r="9" spans="1:15" x14ac:dyDescent="0.25">
      <c r="A9" s="33" t="s">
        <v>37</v>
      </c>
      <c r="B9" s="91">
        <f>'GF - REVENUE'!C21</f>
        <v>51913</v>
      </c>
      <c r="C9" s="85">
        <f>'GF - REVENUE'!D21</f>
        <v>37000</v>
      </c>
      <c r="D9" s="86">
        <f>+'GF - REVENUE'!E21</f>
        <v>45973.85</v>
      </c>
      <c r="E9" s="85">
        <v>37000</v>
      </c>
      <c r="G9" s="86">
        <v>37047.15</v>
      </c>
      <c r="H9" s="85">
        <v>37000</v>
      </c>
      <c r="I9" s="92">
        <f>+'GF - REVENUE'!I21</f>
        <v>32882.32</v>
      </c>
      <c r="J9" s="85">
        <f>'GF - REVENUE'!J21</f>
        <v>37000</v>
      </c>
      <c r="K9" s="85">
        <f>'GF - REVENUE'!K21</f>
        <v>36934</v>
      </c>
      <c r="L9" s="42"/>
      <c r="M9" s="222">
        <f>'GF - REVENUE'!L21</f>
        <v>38042.020000000004</v>
      </c>
      <c r="N9" s="222">
        <f>'GF - REVENUE'!M21</f>
        <v>0</v>
      </c>
      <c r="O9" s="229">
        <f>'GF - REVENUE'!N21</f>
        <v>39183.280599999998</v>
      </c>
    </row>
    <row r="10" spans="1:15" x14ac:dyDescent="0.25">
      <c r="A10" s="33" t="s">
        <v>38</v>
      </c>
      <c r="B10" s="91">
        <f>'GF - REVENUE'!C38</f>
        <v>1614</v>
      </c>
      <c r="C10" s="85">
        <f>'GF - REVENUE'!D38</f>
        <v>1136</v>
      </c>
      <c r="D10" s="86">
        <f>+'GF - REVENUE'!E38</f>
        <v>46596.87</v>
      </c>
      <c r="E10" s="85">
        <v>34620</v>
      </c>
      <c r="G10" s="86">
        <v>133623.24</v>
      </c>
      <c r="H10" s="85">
        <v>34620</v>
      </c>
      <c r="I10" s="92">
        <f>+'GF - REVENUE'!I38</f>
        <v>41399.31</v>
      </c>
      <c r="J10" s="85">
        <f>'GF - REVENUE'!J38</f>
        <v>62620</v>
      </c>
      <c r="K10" s="85">
        <f>'GF - REVENUE'!K38</f>
        <v>88786</v>
      </c>
      <c r="L10" s="42"/>
      <c r="M10" s="222">
        <f>'GF - REVENUE'!L38</f>
        <v>98854.13</v>
      </c>
      <c r="N10" s="222">
        <f>'GF - REVENUE'!M38</f>
        <v>0</v>
      </c>
      <c r="O10" s="229">
        <f>'GF - REVENUE'!N38</f>
        <v>101819.7539</v>
      </c>
    </row>
    <row r="11" spans="1:15" hidden="1" x14ac:dyDescent="0.25">
      <c r="A11" s="33" t="s">
        <v>39</v>
      </c>
      <c r="B11" s="91">
        <f>'GF - REVENUE'!C42</f>
        <v>0</v>
      </c>
      <c r="C11" s="85">
        <f>'GF - REVENUE'!D42</f>
        <v>0</v>
      </c>
      <c r="D11" s="86"/>
      <c r="E11" s="85">
        <v>0</v>
      </c>
      <c r="G11" s="86">
        <v>0</v>
      </c>
      <c r="H11" s="85">
        <v>0</v>
      </c>
      <c r="I11" s="92">
        <v>0</v>
      </c>
      <c r="J11" s="85">
        <f>'GF - REVENUE'!Q42</f>
        <v>0</v>
      </c>
      <c r="K11" s="85">
        <f>+J11</f>
        <v>0</v>
      </c>
      <c r="L11" s="42"/>
      <c r="M11" s="222">
        <f>'GF - REVENUE'!T42</f>
        <v>0</v>
      </c>
      <c r="N11" s="222"/>
      <c r="O11" s="229"/>
    </row>
    <row r="12" spans="1:15" x14ac:dyDescent="0.25">
      <c r="A12" s="33" t="s">
        <v>40</v>
      </c>
      <c r="B12" s="91">
        <f>'GF - REVENUE'!C79</f>
        <v>128677.66</v>
      </c>
      <c r="C12" s="85">
        <f>'GF - REVENUE'!D79</f>
        <v>95600</v>
      </c>
      <c r="D12" s="86">
        <f>+'GF - REVENUE'!E79</f>
        <v>111029.24</v>
      </c>
      <c r="E12" s="85">
        <v>114620</v>
      </c>
      <c r="F12" s="85"/>
      <c r="G12" s="86">
        <v>84659.82</v>
      </c>
      <c r="H12" s="85">
        <v>95874</v>
      </c>
      <c r="I12" s="92">
        <f>+'GF - REVENUE'!I79+'GF - REVENUE'!I91</f>
        <v>34735.109999999993</v>
      </c>
      <c r="J12" s="85">
        <f>'GF - REVENUE'!J79+'GF - REVENUE'!J91</f>
        <v>101640</v>
      </c>
      <c r="K12" s="85">
        <f>'GF - REVENUE'!K79+'GF - REVENUE'!K91</f>
        <v>61704</v>
      </c>
      <c r="L12" s="42"/>
      <c r="M12" s="222">
        <f>'GF - REVENUE'!L79+'GF - REVENUE'!L91</f>
        <v>100440</v>
      </c>
      <c r="N12" s="222">
        <f>'GF - REVENUE'!M79+'GF - REVENUE'!M91</f>
        <v>62152</v>
      </c>
      <c r="O12" s="229">
        <f>'GF - REVENUE'!N79+'GF - REVENUE'!N91</f>
        <v>103453.20000000001</v>
      </c>
    </row>
    <row r="13" spans="1:15" x14ac:dyDescent="0.25">
      <c r="A13" s="33" t="s">
        <v>41</v>
      </c>
      <c r="B13" s="91">
        <f>'GF - REVENUE'!C96</f>
        <v>70042.77</v>
      </c>
      <c r="C13" s="85">
        <f>'GF - REVENUE'!D96</f>
        <v>44582</v>
      </c>
      <c r="D13" s="86">
        <f>+'GF - REVENUE'!E96</f>
        <v>29012.01</v>
      </c>
      <c r="E13" s="85">
        <v>50937</v>
      </c>
      <c r="F13" s="93">
        <v>40000</v>
      </c>
      <c r="G13" s="86">
        <v>38202.559999999998</v>
      </c>
      <c r="H13" s="85">
        <v>52947</v>
      </c>
      <c r="I13" s="92">
        <f>+'GF - REVENUE'!I96</f>
        <v>51736.56</v>
      </c>
      <c r="J13" s="85">
        <v>56160</v>
      </c>
      <c r="K13" s="85">
        <f>'GF - REVENUE'!K96</f>
        <v>56160</v>
      </c>
      <c r="L13" s="42"/>
      <c r="M13" s="222">
        <v>123105</v>
      </c>
      <c r="N13" s="222">
        <f>'GF - REVENUE'!M96</f>
        <v>0</v>
      </c>
      <c r="O13" s="229">
        <f>'GF - REVENUE'!N96</f>
        <v>126798.15000000001</v>
      </c>
    </row>
    <row r="14" spans="1:15" x14ac:dyDescent="0.25">
      <c r="A14" s="33" t="s">
        <v>28</v>
      </c>
      <c r="B14" s="91">
        <f>'GF - REVENUE'!C103</f>
        <v>112460</v>
      </c>
      <c r="C14" s="85">
        <f>'GF - REVENUE'!D103</f>
        <v>0</v>
      </c>
      <c r="D14" s="86">
        <v>0</v>
      </c>
      <c r="E14" s="85">
        <v>5000</v>
      </c>
      <c r="F14" s="93">
        <v>50000</v>
      </c>
      <c r="G14" s="86">
        <v>0</v>
      </c>
      <c r="H14" s="85">
        <v>0</v>
      </c>
      <c r="I14" s="92">
        <v>0</v>
      </c>
      <c r="J14" s="85">
        <f>'GF - REVENUE'!J103</f>
        <v>0</v>
      </c>
      <c r="K14" s="85">
        <f>+J14</f>
        <v>0</v>
      </c>
      <c r="L14" s="42"/>
      <c r="M14" s="222">
        <f>'GF - REVENUE'!L103</f>
        <v>0</v>
      </c>
      <c r="N14" s="222">
        <f>'GF - REVENUE'!M103</f>
        <v>0</v>
      </c>
      <c r="O14" s="229">
        <f>'GF - REVENUE'!N103</f>
        <v>5000</v>
      </c>
    </row>
    <row r="15" spans="1:15" ht="16.5" thickBot="1" x14ac:dyDescent="0.3">
      <c r="A15" s="33" t="s">
        <v>42</v>
      </c>
      <c r="B15" s="94">
        <f>'GF - REVENUE'!C113</f>
        <v>83239.600000000006</v>
      </c>
      <c r="C15" s="95">
        <f>'GF - REVENUE'!D113</f>
        <v>3350</v>
      </c>
      <c r="D15" s="96">
        <f>+'GF - REVENUE'!E113</f>
        <v>7678.27</v>
      </c>
      <c r="E15" s="95">
        <v>1500</v>
      </c>
      <c r="G15" s="96">
        <v>171438.47</v>
      </c>
      <c r="H15" s="95">
        <v>35700</v>
      </c>
      <c r="I15" s="97">
        <f>+'GF - REVENUE'!I113</f>
        <v>94506.92</v>
      </c>
      <c r="J15" s="95">
        <f>'GF - REVENUE'!J113</f>
        <v>10700</v>
      </c>
      <c r="K15" s="95">
        <f>'GF - REVENUE'!K113</f>
        <v>10700</v>
      </c>
      <c r="L15" s="42"/>
      <c r="M15" s="223">
        <f>'GF - REVENUE'!L113</f>
        <v>11000</v>
      </c>
      <c r="N15" s="223">
        <f>'GF - REVENUE'!M113</f>
        <v>721</v>
      </c>
      <c r="O15" s="230">
        <f>'GF - REVENUE'!N113</f>
        <v>11330</v>
      </c>
    </row>
    <row r="16" spans="1:15" x14ac:dyDescent="0.25">
      <c r="A16" s="53" t="s">
        <v>43</v>
      </c>
      <c r="B16" s="54">
        <f>SUM(B8:B15)</f>
        <v>812793.03</v>
      </c>
      <c r="C16" s="54">
        <f t="shared" ref="C16" si="0">SUM(C8:C15)</f>
        <v>532668</v>
      </c>
      <c r="D16" s="54">
        <f>SUM(D8:D15)</f>
        <v>699737.7</v>
      </c>
      <c r="E16" s="54">
        <v>636398</v>
      </c>
      <c r="F16" s="98">
        <v>90000</v>
      </c>
      <c r="G16" s="55">
        <v>984064.8</v>
      </c>
      <c r="H16" s="54">
        <v>672111</v>
      </c>
      <c r="I16" s="56">
        <f t="shared" ref="I16:K16" si="1">SUM(I8:I15)</f>
        <v>759972.75999999989</v>
      </c>
      <c r="J16" s="54">
        <f t="shared" si="1"/>
        <v>820464</v>
      </c>
      <c r="K16" s="54">
        <f t="shared" si="1"/>
        <v>807827</v>
      </c>
      <c r="L16" s="42"/>
      <c r="M16" s="225">
        <f t="shared" ref="M16" si="2">SUM(M8:M15)</f>
        <v>1019488.1000000001</v>
      </c>
      <c r="N16" s="225">
        <f>SUM(N8:N15)</f>
        <v>62873</v>
      </c>
      <c r="O16" s="231">
        <f>SUM(O8:O15)</f>
        <v>1104743.8430000001</v>
      </c>
    </row>
    <row r="17" spans="1:15" x14ac:dyDescent="0.25">
      <c r="A17" s="33"/>
      <c r="B17" s="33"/>
      <c r="C17" s="85"/>
      <c r="D17" s="86"/>
      <c r="E17" s="85"/>
      <c r="G17" s="87"/>
      <c r="H17" s="85"/>
      <c r="I17" s="92">
        <f>+I16-721471.08</f>
        <v>38501.679999999935</v>
      </c>
      <c r="J17" s="85"/>
      <c r="L17" s="42"/>
      <c r="M17" s="85"/>
      <c r="N17" s="33"/>
      <c r="O17" s="232"/>
    </row>
    <row r="18" spans="1:15" x14ac:dyDescent="0.25">
      <c r="A18" s="89" t="s">
        <v>44</v>
      </c>
      <c r="B18" s="33"/>
      <c r="C18" s="85"/>
      <c r="D18" s="86"/>
      <c r="E18" s="85"/>
      <c r="G18" s="87"/>
      <c r="H18" s="85"/>
      <c r="I18" s="92"/>
      <c r="J18" s="85"/>
      <c r="L18" s="42"/>
      <c r="M18" s="85"/>
      <c r="N18" s="33"/>
      <c r="O18" s="232"/>
    </row>
    <row r="19" spans="1:15" hidden="1" x14ac:dyDescent="0.25">
      <c r="A19" s="33"/>
      <c r="B19" s="33"/>
      <c r="C19" s="85"/>
      <c r="D19" s="86"/>
      <c r="E19" s="85"/>
      <c r="G19" s="87"/>
      <c r="H19" s="85"/>
      <c r="I19" s="92"/>
      <c r="J19" s="85"/>
      <c r="L19" s="42"/>
      <c r="M19" s="85"/>
      <c r="N19" s="33"/>
      <c r="O19" s="232"/>
    </row>
    <row r="20" spans="1:15" hidden="1" x14ac:dyDescent="0.25">
      <c r="A20" s="89" t="s">
        <v>45</v>
      </c>
      <c r="B20" s="33"/>
      <c r="C20" s="85"/>
      <c r="D20" s="86"/>
      <c r="E20" s="85"/>
      <c r="G20" s="87"/>
      <c r="H20" s="85"/>
      <c r="I20" s="92"/>
      <c r="J20" s="85"/>
      <c r="L20" s="42"/>
      <c r="M20" s="85"/>
      <c r="N20" s="33"/>
      <c r="O20" s="232"/>
    </row>
    <row r="21" spans="1:15" x14ac:dyDescent="0.25">
      <c r="A21" s="33" t="s">
        <v>46</v>
      </c>
      <c r="B21" s="91">
        <f>'GF - SECRETARY'!C46</f>
        <v>96835.13</v>
      </c>
      <c r="C21" s="85">
        <f>'GF - SECRETARY'!D46</f>
        <v>63033</v>
      </c>
      <c r="D21" s="86">
        <f>+'GF - SECRETARY'!E46</f>
        <v>6915.1200000000008</v>
      </c>
      <c r="E21" s="85">
        <v>75384.320000000007</v>
      </c>
      <c r="F21" s="93">
        <v>2500</v>
      </c>
      <c r="G21" s="86">
        <v>145983.88</v>
      </c>
      <c r="H21" s="85">
        <v>88359.14</v>
      </c>
      <c r="I21" s="92">
        <f>+'GF - SECRETARY'!J46</f>
        <v>63821.22</v>
      </c>
      <c r="J21" s="85">
        <f>'GF - SECRETARY'!K46</f>
        <v>88216.98</v>
      </c>
      <c r="K21" s="85">
        <f>'GF - SECRETARY'!L46</f>
        <v>88216.98</v>
      </c>
      <c r="L21" s="42"/>
      <c r="M21" s="222">
        <f>'GF - SECRETARY'!N46</f>
        <v>88488.594700000001</v>
      </c>
      <c r="N21" s="222">
        <f>'GF - SECRETARY'!O46</f>
        <v>0</v>
      </c>
      <c r="O21" s="229">
        <f>'GF - SECRETARY'!P46</f>
        <v>91404.650540999995</v>
      </c>
    </row>
    <row r="22" spans="1:15" x14ac:dyDescent="0.25">
      <c r="A22" s="33" t="s">
        <v>47</v>
      </c>
      <c r="B22" s="91">
        <f>'GF - COURT'!C37</f>
        <v>40350.646874999999</v>
      </c>
      <c r="C22" s="85">
        <f>'GF - COURT'!D37</f>
        <v>41669.479999999996</v>
      </c>
      <c r="D22" s="86">
        <f>+'GF - COURT'!E37</f>
        <v>9235</v>
      </c>
      <c r="E22" s="85">
        <v>36638.576000000001</v>
      </c>
      <c r="G22" s="86">
        <v>33827.68</v>
      </c>
      <c r="H22" s="85">
        <v>43549.79</v>
      </c>
      <c r="I22" s="92">
        <f>+'GF - COURT'!I37</f>
        <v>29620.44</v>
      </c>
      <c r="J22" s="85">
        <f>'GF - COURT'!J37</f>
        <v>45137.98</v>
      </c>
      <c r="K22" s="85">
        <f>'GF - COURT'!K37</f>
        <v>45137.98</v>
      </c>
      <c r="L22" s="42"/>
      <c r="M22" s="222">
        <f>'GF - COURT'!M37</f>
        <v>46720.189399999996</v>
      </c>
      <c r="N22" s="222">
        <f>'GF - COURT'!N37</f>
        <v>0</v>
      </c>
      <c r="O22" s="229">
        <f>'GF - COURT'!O37</f>
        <v>48008.653281999999</v>
      </c>
    </row>
    <row r="23" spans="1:15" x14ac:dyDescent="0.25">
      <c r="A23" s="33" t="s">
        <v>48</v>
      </c>
      <c r="B23" s="91">
        <f>'GF - PERMITTING'!C34</f>
        <v>70144.536874999991</v>
      </c>
      <c r="C23" s="85">
        <f>'GF - PERMITTING'!D34</f>
        <v>64669.479999999996</v>
      </c>
      <c r="D23" s="86">
        <f>+'GF - PERMITTING'!E34</f>
        <v>30040.82</v>
      </c>
      <c r="E23" s="85">
        <v>55638.576000000001</v>
      </c>
      <c r="G23" s="86">
        <v>97766.469999999987</v>
      </c>
      <c r="H23" s="85">
        <v>64249.79</v>
      </c>
      <c r="I23" s="92">
        <f>+'GF - PERMITTING'!I34</f>
        <v>64249</v>
      </c>
      <c r="J23" s="85">
        <f>'GF - PERMITTING'!J34</f>
        <v>63228</v>
      </c>
      <c r="K23" s="85">
        <f>'GF - PERMITTING'!K34</f>
        <v>63228</v>
      </c>
      <c r="L23" s="42"/>
      <c r="M23" s="222">
        <f>'GF - PERMITTING'!M34</f>
        <v>84379.5</v>
      </c>
      <c r="N23" s="222">
        <f>'GF - PERMITTING'!N34</f>
        <v>23719</v>
      </c>
      <c r="O23" s="229">
        <f>'GF - PERMITTING'!O34</f>
        <v>86511.775200000004</v>
      </c>
    </row>
    <row r="24" spans="1:15" x14ac:dyDescent="0.25">
      <c r="A24" s="33" t="s">
        <v>49</v>
      </c>
      <c r="B24" s="91">
        <f>'GF - DS'!C45</f>
        <v>131975.31</v>
      </c>
      <c r="C24" s="85">
        <f>'GF - DS'!D45</f>
        <v>91579.56</v>
      </c>
      <c r="D24" s="86">
        <f>+'GF - DS'!E45</f>
        <v>50699.75</v>
      </c>
      <c r="E24" s="85">
        <v>117977</v>
      </c>
      <c r="F24" s="93">
        <v>2500</v>
      </c>
      <c r="G24" s="86">
        <v>108409.68000000001</v>
      </c>
      <c r="H24" s="85">
        <v>181319.5</v>
      </c>
      <c r="I24" s="92">
        <f>+'GF - DS'!I45</f>
        <v>175062.93</v>
      </c>
      <c r="J24" s="85">
        <f>'GF - DS'!J45</f>
        <v>221235</v>
      </c>
      <c r="K24" s="85">
        <f>'GF - DS'!K45</f>
        <v>221235</v>
      </c>
      <c r="L24" s="42"/>
      <c r="M24" s="222">
        <f>'GF - DS'!M45</f>
        <v>228402.45</v>
      </c>
      <c r="N24" s="222">
        <f>'GF - DS'!N45</f>
        <v>0</v>
      </c>
      <c r="O24" s="229">
        <f>'GF - DS'!O45</f>
        <v>199910.04430000001</v>
      </c>
    </row>
    <row r="25" spans="1:15" ht="16.5" thickBot="1" x14ac:dyDescent="0.3">
      <c r="A25" s="33" t="s">
        <v>50</v>
      </c>
      <c r="B25" s="91">
        <f>'GF - PD'!C42</f>
        <v>0</v>
      </c>
      <c r="C25" s="99">
        <f>+'GF - PD'!D55</f>
        <v>196530.96</v>
      </c>
      <c r="D25" s="100">
        <f>+'GF - PD'!E55</f>
        <v>36670.270000000004</v>
      </c>
      <c r="E25" s="101">
        <v>267010.48</v>
      </c>
      <c r="F25" s="101" t="e">
        <v>#REF!</v>
      </c>
      <c r="G25" s="102">
        <v>299725.26000000007</v>
      </c>
      <c r="H25" s="101">
        <v>273555.27899999998</v>
      </c>
      <c r="I25" s="103">
        <f>+'GF - PD'!I55</f>
        <v>218459.55000000005</v>
      </c>
      <c r="J25" s="101">
        <f>'GF - PD'!J55</f>
        <v>254076.58999999997</v>
      </c>
      <c r="K25" s="101">
        <f>'GF - PD'!K55</f>
        <v>214898.91999999998</v>
      </c>
      <c r="L25" s="42"/>
      <c r="M25" s="238">
        <f>'GF - PD'!M55</f>
        <v>305245</v>
      </c>
      <c r="N25" s="222">
        <f>'GF - PD'!N55</f>
        <v>0</v>
      </c>
      <c r="O25" s="229">
        <f>'GF - PD'!O55</f>
        <v>263019.15000000002</v>
      </c>
    </row>
    <row r="26" spans="1:15" ht="16.5" thickBot="1" x14ac:dyDescent="0.3">
      <c r="A26" s="33" t="s">
        <v>627</v>
      </c>
      <c r="B26" s="91"/>
      <c r="C26" s="101"/>
      <c r="D26" s="102"/>
      <c r="E26" s="99">
        <v>0</v>
      </c>
      <c r="F26" s="99"/>
      <c r="G26" s="100">
        <v>0</v>
      </c>
      <c r="H26" s="99">
        <v>0</v>
      </c>
      <c r="I26" s="104">
        <v>0</v>
      </c>
      <c r="J26" s="99">
        <f>'GF - SRO'!J35</f>
        <v>84213</v>
      </c>
      <c r="K26" s="99">
        <f>'GF - SRO'!K35</f>
        <v>38182</v>
      </c>
      <c r="L26" s="105"/>
      <c r="M26" s="239">
        <f>'GF - SRO'!M35</f>
        <v>165423</v>
      </c>
      <c r="N26" s="223">
        <f>'GF - SRO'!N35</f>
        <v>0</v>
      </c>
      <c r="O26" s="230">
        <f>'GF - SRO'!O35</f>
        <v>168333.32</v>
      </c>
    </row>
    <row r="27" spans="1:15" hidden="1" x14ac:dyDescent="0.25">
      <c r="A27" s="33" t="s">
        <v>51</v>
      </c>
      <c r="B27" s="91">
        <f>'GF - LEGAL'!C14</f>
        <v>25958.97</v>
      </c>
      <c r="C27" s="85"/>
      <c r="D27" s="86"/>
      <c r="E27" s="85"/>
      <c r="G27" s="87"/>
      <c r="H27" s="85">
        <v>0</v>
      </c>
      <c r="I27" s="92">
        <v>0</v>
      </c>
      <c r="J27" s="85">
        <v>0</v>
      </c>
      <c r="K27" s="85">
        <v>0</v>
      </c>
      <c r="L27" s="42"/>
      <c r="M27" s="222">
        <v>0</v>
      </c>
      <c r="N27" s="222"/>
      <c r="O27" s="229"/>
    </row>
    <row r="28" spans="1:15" hidden="1" x14ac:dyDescent="0.25">
      <c r="A28" s="33" t="s">
        <v>52</v>
      </c>
      <c r="B28" s="91">
        <f>'GF -ENGINEERING'!C10</f>
        <v>5460</v>
      </c>
      <c r="C28" s="85"/>
      <c r="D28" s="86"/>
      <c r="E28" s="85"/>
      <c r="G28" s="87"/>
      <c r="H28" s="85">
        <v>0</v>
      </c>
      <c r="I28" s="92">
        <v>0</v>
      </c>
      <c r="J28" s="85">
        <v>0</v>
      </c>
      <c r="K28" s="85">
        <v>0</v>
      </c>
      <c r="L28" s="42"/>
      <c r="M28" s="222">
        <v>0</v>
      </c>
      <c r="N28" s="222"/>
      <c r="O28" s="229"/>
    </row>
    <row r="29" spans="1:15" hidden="1" x14ac:dyDescent="0.25">
      <c r="A29" s="33" t="s">
        <v>53</v>
      </c>
      <c r="B29" s="91">
        <f>'GF - AUDITOR'!C10</f>
        <v>4575</v>
      </c>
      <c r="C29" s="85"/>
      <c r="D29" s="86"/>
      <c r="E29" s="85"/>
      <c r="G29" s="87"/>
      <c r="H29" s="85">
        <v>0</v>
      </c>
      <c r="I29" s="92">
        <v>0</v>
      </c>
      <c r="J29" s="85">
        <v>0</v>
      </c>
      <c r="K29" s="85">
        <v>0</v>
      </c>
      <c r="L29" s="42"/>
      <c r="M29" s="222">
        <v>0</v>
      </c>
      <c r="N29" s="222"/>
      <c r="O29" s="229"/>
    </row>
    <row r="30" spans="1:15" hidden="1" x14ac:dyDescent="0.25">
      <c r="A30" s="33" t="s">
        <v>54</v>
      </c>
      <c r="B30" s="91">
        <f>'GF - GCAD'!C10</f>
        <v>2698.56</v>
      </c>
      <c r="C30" s="85"/>
      <c r="D30" s="86"/>
      <c r="E30" s="85"/>
      <c r="G30" s="87"/>
      <c r="H30" s="85">
        <v>0</v>
      </c>
      <c r="I30" s="92">
        <v>0</v>
      </c>
      <c r="J30" s="85">
        <v>0</v>
      </c>
      <c r="K30" s="85">
        <v>0</v>
      </c>
      <c r="L30" s="42"/>
      <c r="M30" s="222">
        <v>0</v>
      </c>
      <c r="N30" s="222"/>
      <c r="O30" s="229"/>
    </row>
    <row r="31" spans="1:15" hidden="1" x14ac:dyDescent="0.25">
      <c r="A31" s="33" t="s">
        <v>55</v>
      </c>
      <c r="B31" s="91">
        <f>'GF - GCTA'!C10</f>
        <v>224</v>
      </c>
      <c r="C31" s="85"/>
      <c r="D31" s="86"/>
      <c r="E31" s="85"/>
      <c r="G31" s="87"/>
      <c r="H31" s="85">
        <v>0</v>
      </c>
      <c r="I31" s="92">
        <v>0</v>
      </c>
      <c r="J31" s="85">
        <v>0</v>
      </c>
      <c r="K31" s="85">
        <v>0</v>
      </c>
      <c r="L31" s="42"/>
      <c r="M31" s="222">
        <v>0</v>
      </c>
      <c r="N31" s="222"/>
      <c r="O31" s="229"/>
    </row>
    <row r="32" spans="1:15" ht="16.5" hidden="1" thickBot="1" x14ac:dyDescent="0.3">
      <c r="A32" s="33" t="s">
        <v>56</v>
      </c>
      <c r="B32" s="94">
        <f>'GF - MCLA'!C10</f>
        <v>800</v>
      </c>
      <c r="C32" s="85"/>
      <c r="D32" s="86"/>
      <c r="E32" s="85"/>
      <c r="G32" s="87"/>
      <c r="H32" s="85">
        <v>0</v>
      </c>
      <c r="I32" s="92">
        <v>0</v>
      </c>
      <c r="J32" s="85">
        <v>0</v>
      </c>
      <c r="K32" s="85">
        <v>0</v>
      </c>
      <c r="L32" s="42"/>
      <c r="M32" s="222">
        <v>0</v>
      </c>
      <c r="N32" s="222"/>
      <c r="O32" s="229"/>
    </row>
    <row r="33" spans="1:15" hidden="1" x14ac:dyDescent="0.25">
      <c r="A33" s="33" t="s">
        <v>57</v>
      </c>
      <c r="B33" s="91">
        <f>'GF - MVFD'!C8</f>
        <v>0</v>
      </c>
      <c r="C33" s="85"/>
      <c r="D33" s="86"/>
      <c r="E33" s="85"/>
      <c r="G33" s="87"/>
      <c r="H33" s="85">
        <v>0</v>
      </c>
      <c r="I33" s="92">
        <v>0</v>
      </c>
      <c r="J33" s="85">
        <v>0</v>
      </c>
      <c r="K33" s="85">
        <v>0</v>
      </c>
      <c r="L33" s="42"/>
      <c r="M33" s="222">
        <v>0</v>
      </c>
      <c r="N33" s="222"/>
      <c r="O33" s="229"/>
    </row>
    <row r="34" spans="1:15" ht="16.5" hidden="1" thickBot="1" x14ac:dyDescent="0.3">
      <c r="A34" s="33" t="s">
        <v>58</v>
      </c>
      <c r="B34" s="94">
        <f>'GF - EMS'!C8</f>
        <v>0</v>
      </c>
      <c r="C34" s="95"/>
      <c r="D34" s="96"/>
      <c r="E34" s="95"/>
      <c r="G34" s="87"/>
      <c r="H34" s="95">
        <v>0</v>
      </c>
      <c r="I34" s="97">
        <v>0</v>
      </c>
      <c r="J34" s="95">
        <v>0</v>
      </c>
      <c r="K34" s="95">
        <v>0</v>
      </c>
      <c r="L34" s="42"/>
      <c r="M34" s="223">
        <v>0</v>
      </c>
      <c r="N34" s="222"/>
      <c r="O34" s="229"/>
    </row>
    <row r="35" spans="1:15" x14ac:dyDescent="0.25">
      <c r="A35" s="53" t="s">
        <v>59</v>
      </c>
      <c r="B35" s="54">
        <f>SUM(B21:B32)</f>
        <v>379022.15375</v>
      </c>
      <c r="C35" s="54">
        <f>SUM(C21:C34)</f>
        <v>457482.48</v>
      </c>
      <c r="D35" s="54">
        <f>SUM(D21:D25)</f>
        <v>133560.96000000002</v>
      </c>
      <c r="E35" s="54">
        <v>552648.95200000005</v>
      </c>
      <c r="F35" s="98">
        <v>5000</v>
      </c>
      <c r="G35" s="55">
        <v>685712.97</v>
      </c>
      <c r="H35" s="54">
        <v>651033.49899999995</v>
      </c>
      <c r="I35" s="56">
        <f t="shared" ref="I35:J35" si="3">SUM(I21:I34)</f>
        <v>551213.14</v>
      </c>
      <c r="J35" s="54">
        <f t="shared" si="3"/>
        <v>756107.54999999993</v>
      </c>
      <c r="K35" s="54">
        <f t="shared" ref="K35" si="4">SUM(K21:K34)</f>
        <v>670898.87999999989</v>
      </c>
      <c r="L35" s="42"/>
      <c r="M35" s="225">
        <f t="shared" ref="M35" si="5">SUM(M21:M34)</f>
        <v>918658.7341</v>
      </c>
      <c r="N35" s="225">
        <f>SUM(N21:N34)</f>
        <v>23719</v>
      </c>
      <c r="O35" s="231">
        <f>SUM(O21:O26)</f>
        <v>857187.59332300001</v>
      </c>
    </row>
    <row r="36" spans="1:15" x14ac:dyDescent="0.25">
      <c r="A36" s="33"/>
      <c r="B36" s="33"/>
      <c r="C36" s="85"/>
      <c r="D36" s="86"/>
      <c r="E36" s="85"/>
      <c r="G36" s="87"/>
      <c r="H36" s="85"/>
      <c r="I36" s="92"/>
      <c r="J36" s="85"/>
      <c r="K36" s="85"/>
      <c r="L36" s="42"/>
      <c r="M36" s="85"/>
      <c r="N36" s="33"/>
      <c r="O36" s="232"/>
    </row>
    <row r="37" spans="1:15" hidden="1" x14ac:dyDescent="0.25">
      <c r="A37" s="89" t="s">
        <v>60</v>
      </c>
      <c r="B37" s="33"/>
      <c r="C37" s="85"/>
      <c r="D37" s="86"/>
      <c r="E37" s="85"/>
      <c r="G37" s="87"/>
      <c r="H37" s="85"/>
      <c r="I37" s="92"/>
      <c r="J37" s="85"/>
      <c r="K37" s="85"/>
      <c r="L37" s="42"/>
      <c r="M37" s="85"/>
      <c r="N37" s="33"/>
      <c r="O37" s="232"/>
    </row>
    <row r="38" spans="1:15" hidden="1" x14ac:dyDescent="0.25">
      <c r="A38" s="33" t="s">
        <v>50</v>
      </c>
      <c r="B38" s="91">
        <f>'GF - PD'!C55</f>
        <v>232522.49999999997</v>
      </c>
      <c r="C38" s="85">
        <v>0</v>
      </c>
      <c r="D38" s="86"/>
      <c r="E38" s="85">
        <v>0</v>
      </c>
      <c r="F38" s="85" t="e">
        <v>#REF!</v>
      </c>
      <c r="G38" s="86"/>
      <c r="H38" s="85">
        <v>0</v>
      </c>
      <c r="I38" s="92">
        <v>0</v>
      </c>
      <c r="J38" s="85">
        <v>0</v>
      </c>
      <c r="K38" s="85">
        <v>0</v>
      </c>
      <c r="L38" s="42"/>
      <c r="M38" s="85">
        <v>0</v>
      </c>
      <c r="N38" s="33"/>
      <c r="O38" s="232"/>
    </row>
    <row r="39" spans="1:15" hidden="1" x14ac:dyDescent="0.25">
      <c r="A39" s="33" t="s">
        <v>57</v>
      </c>
      <c r="B39" s="91">
        <f>'GF - MVFD'!C14</f>
        <v>0</v>
      </c>
      <c r="C39" s="85">
        <v>0</v>
      </c>
      <c r="D39" s="86"/>
      <c r="E39" s="85">
        <v>0</v>
      </c>
      <c r="G39" s="87"/>
      <c r="H39" s="85">
        <v>0</v>
      </c>
      <c r="I39" s="92">
        <v>0</v>
      </c>
      <c r="J39" s="85">
        <v>0</v>
      </c>
      <c r="K39" s="85">
        <v>0</v>
      </c>
      <c r="L39" s="42"/>
      <c r="M39" s="85">
        <v>0</v>
      </c>
      <c r="N39" s="33"/>
      <c r="O39" s="232"/>
    </row>
    <row r="40" spans="1:15" ht="16.5" hidden="1" thickBot="1" x14ac:dyDescent="0.3">
      <c r="A40" s="33" t="s">
        <v>58</v>
      </c>
      <c r="B40" s="94">
        <f>'GF - EMS'!C14</f>
        <v>15186</v>
      </c>
      <c r="C40" s="95">
        <v>0</v>
      </c>
      <c r="D40" s="96"/>
      <c r="E40" s="95">
        <v>0</v>
      </c>
      <c r="G40" s="87"/>
      <c r="H40" s="95">
        <v>0</v>
      </c>
      <c r="I40" s="97">
        <v>0</v>
      </c>
      <c r="J40" s="95">
        <v>0</v>
      </c>
      <c r="K40" s="95">
        <v>0</v>
      </c>
      <c r="L40" s="42"/>
      <c r="M40" s="95">
        <v>0</v>
      </c>
      <c r="N40" s="33"/>
      <c r="O40" s="232"/>
    </row>
    <row r="41" spans="1:15" hidden="1" x14ac:dyDescent="0.25">
      <c r="A41" s="106" t="s">
        <v>61</v>
      </c>
      <c r="B41" s="107">
        <f>SUM(B38:B40)</f>
        <v>247708.49999999997</v>
      </c>
      <c r="C41" s="108">
        <f t="shared" ref="C41" si="6">SUM(C38:C40)</f>
        <v>0</v>
      </c>
      <c r="D41" s="109"/>
      <c r="E41" s="108">
        <v>0</v>
      </c>
      <c r="F41" s="110" t="e">
        <v>#REF!</v>
      </c>
      <c r="G41" s="86"/>
      <c r="H41" s="108">
        <v>0</v>
      </c>
      <c r="I41" s="112">
        <f t="shared" ref="I41:J41" si="7">SUM(I38:I40)</f>
        <v>0</v>
      </c>
      <c r="J41" s="111">
        <f t="shared" si="7"/>
        <v>0</v>
      </c>
      <c r="K41" s="111">
        <f t="shared" ref="K41" si="8">SUM(K38:K40)</f>
        <v>0</v>
      </c>
      <c r="L41" s="42"/>
      <c r="M41" s="111">
        <f t="shared" ref="M41" si="9">SUM(M38:M40)</f>
        <v>0</v>
      </c>
      <c r="N41" s="33"/>
      <c r="O41" s="232"/>
    </row>
    <row r="42" spans="1:15" x14ac:dyDescent="0.25">
      <c r="A42" s="224" t="s">
        <v>62</v>
      </c>
      <c r="B42" s="255">
        <f>B35+B41</f>
        <v>626730.65374999994</v>
      </c>
      <c r="C42" s="255">
        <f>+C16-C35</f>
        <v>75185.520000000019</v>
      </c>
      <c r="D42" s="255">
        <f>+D16-D35</f>
        <v>566176.74</v>
      </c>
      <c r="E42" s="255">
        <v>83749.047999999952</v>
      </c>
      <c r="F42" s="256">
        <v>56591</v>
      </c>
      <c r="G42" s="255">
        <v>298351.83000000007</v>
      </c>
      <c r="H42" s="255">
        <v>21077.501000000047</v>
      </c>
      <c r="I42" s="255">
        <f t="shared" ref="I42" si="10">+I16-I35</f>
        <v>208759.61999999988</v>
      </c>
      <c r="J42" s="255">
        <f>J16-J35</f>
        <v>64356.45000000007</v>
      </c>
      <c r="K42" s="255">
        <f t="shared" ref="K42" si="11">+K16-K35</f>
        <v>136928.12000000011</v>
      </c>
      <c r="L42" s="181"/>
      <c r="M42" s="257">
        <f>M16-M35</f>
        <v>100829.36590000009</v>
      </c>
      <c r="N42" s="257">
        <f t="shared" ref="N42:O42" si="12">N16-N35</f>
        <v>39154</v>
      </c>
      <c r="O42" s="258">
        <f t="shared" si="12"/>
        <v>247556.2496770001</v>
      </c>
    </row>
    <row r="43" spans="1:15" hidden="1" x14ac:dyDescent="0.25">
      <c r="A43" s="35" t="s">
        <v>62</v>
      </c>
      <c r="B43" s="113">
        <f>B16-B42</f>
        <v>186062.37625000009</v>
      </c>
      <c r="C43" s="114">
        <f>C16-C42</f>
        <v>457482.48</v>
      </c>
      <c r="D43" s="114"/>
      <c r="E43" s="114">
        <f>E16-E42</f>
        <v>552648.95200000005</v>
      </c>
      <c r="H43" s="114">
        <f>H16-H42</f>
        <v>651033.49899999995</v>
      </c>
      <c r="J43" s="114">
        <f>J16-J42</f>
        <v>756107.54999999993</v>
      </c>
      <c r="N43" s="33"/>
      <c r="O43" s="33"/>
    </row>
    <row r="44" spans="1:15" hidden="1" x14ac:dyDescent="0.25">
      <c r="A44" s="35" t="s">
        <v>63</v>
      </c>
      <c r="B44" s="113">
        <v>0</v>
      </c>
      <c r="C44" s="115">
        <v>0</v>
      </c>
      <c r="D44" s="115"/>
      <c r="E44" s="114">
        <f>-E43</f>
        <v>-552648.95200000005</v>
      </c>
      <c r="H44" s="114">
        <f>-H43</f>
        <v>-651033.49899999995</v>
      </c>
      <c r="J44" s="114">
        <f>-J43</f>
        <v>-756107.54999999993</v>
      </c>
      <c r="N44" s="33"/>
      <c r="O44" s="33"/>
    </row>
    <row r="45" spans="1:15" hidden="1" x14ac:dyDescent="0.25">
      <c r="A45" s="35" t="s">
        <v>64</v>
      </c>
      <c r="B45" s="54">
        <v>188678.2</v>
      </c>
      <c r="C45" s="111">
        <v>194561</v>
      </c>
      <c r="D45" s="111"/>
      <c r="E45" s="111">
        <f>C46</f>
        <v>652043.48</v>
      </c>
      <c r="H45" s="111">
        <f>E46</f>
        <v>1204692.432</v>
      </c>
      <c r="J45" s="111" t="e">
        <f>#REF!</f>
        <v>#REF!</v>
      </c>
      <c r="N45" s="33"/>
      <c r="O45" s="33"/>
    </row>
    <row r="46" spans="1:15" hidden="1" x14ac:dyDescent="0.25">
      <c r="A46" s="35" t="s">
        <v>65</v>
      </c>
      <c r="B46" s="54">
        <v>194561</v>
      </c>
      <c r="C46" s="111">
        <f>C45+C43</f>
        <v>652043.48</v>
      </c>
      <c r="D46" s="111"/>
      <c r="E46" s="111">
        <f>E45+E43</f>
        <v>1204692.432</v>
      </c>
      <c r="H46" s="111">
        <f>H45+H43</f>
        <v>1855725.9309999999</v>
      </c>
      <c r="J46" s="111" t="e">
        <f>J45+J43</f>
        <v>#REF!</v>
      </c>
      <c r="N46" s="33"/>
      <c r="O46" s="33"/>
    </row>
    <row r="47" spans="1:15" x14ac:dyDescent="0.25">
      <c r="N47" s="33"/>
      <c r="O47" s="33"/>
    </row>
  </sheetData>
  <mergeCells count="1">
    <mergeCell ref="G1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152"/>
  <sheetViews>
    <sheetView zoomScale="90" zoomScaleNormal="90" workbookViewId="0">
      <selection activeCell="O8" sqref="O8:W8"/>
    </sheetView>
  </sheetViews>
  <sheetFormatPr defaultColWidth="9.140625" defaultRowHeight="15.75" x14ac:dyDescent="0.25"/>
  <cols>
    <col min="1" max="1" width="13.42578125" style="34" customWidth="1"/>
    <col min="2" max="2" width="39.42578125" style="34" customWidth="1"/>
    <col min="3" max="3" width="12.42578125" style="34" hidden="1" customWidth="1"/>
    <col min="4" max="4" width="15.140625" style="116" hidden="1" customWidth="1"/>
    <col min="5" max="5" width="13.42578125" style="117" hidden="1" customWidth="1"/>
    <col min="6" max="6" width="16.28515625" style="116" hidden="1" customWidth="1"/>
    <col min="7" max="7" width="17" style="117" hidden="1" customWidth="1"/>
    <col min="8" max="8" width="16.5703125" style="116" hidden="1" customWidth="1"/>
    <col min="9" max="9" width="16.42578125" style="117" hidden="1" customWidth="1"/>
    <col min="10" max="11" width="17.5703125" style="116" hidden="1" customWidth="1"/>
    <col min="12" max="12" width="14.7109375" style="34" customWidth="1"/>
    <col min="13" max="13" width="12.28515625" style="34" customWidth="1"/>
    <col min="14" max="14" width="14" style="34" customWidth="1"/>
    <col min="15" max="15" width="10.5703125" style="34" customWidth="1"/>
    <col min="16" max="16384" width="9.140625" style="34"/>
  </cols>
  <sheetData>
    <row r="1" spans="1:15" x14ac:dyDescent="0.25">
      <c r="A1" s="32" t="s">
        <v>563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5" x14ac:dyDescent="0.25">
      <c r="A2" s="32" t="s">
        <v>564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5" x14ac:dyDescent="0.25">
      <c r="A3" s="32" t="str">
        <f>+'GF - SUMMARY'!A3</f>
        <v>FISCAL YEAR 2023-2024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5" spans="1:15" ht="49.5" customHeight="1" thickBot="1" x14ac:dyDescent="0.3">
      <c r="A5" s="79" t="s">
        <v>33</v>
      </c>
      <c r="B5" s="66"/>
      <c r="C5" s="36" t="s">
        <v>1</v>
      </c>
      <c r="D5" s="118" t="s">
        <v>2</v>
      </c>
      <c r="E5" s="119" t="s">
        <v>66</v>
      </c>
      <c r="F5" s="120" t="str">
        <f>+'GF - SUMMARY'!E5</f>
        <v>FY19-20 BUDGET</v>
      </c>
      <c r="G5" s="121" t="str">
        <f>+'GF - SUMMARY'!G5</f>
        <v>FY19-20 ACTUAL</v>
      </c>
      <c r="H5" s="120" t="str">
        <f>+'GF - SUMMARY'!H5</f>
        <v>FY20-21 BUDGET</v>
      </c>
      <c r="I5" s="122" t="str">
        <f>+'GF - SUMMARY'!I5</f>
        <v>FY20-21 ACTUAL</v>
      </c>
      <c r="J5" s="120" t="s">
        <v>670</v>
      </c>
      <c r="K5" s="197" t="s">
        <v>671</v>
      </c>
      <c r="L5" s="120" t="s">
        <v>703</v>
      </c>
      <c r="M5" s="37" t="s">
        <v>684</v>
      </c>
      <c r="N5" s="227" t="s">
        <v>685</v>
      </c>
      <c r="O5" s="220"/>
    </row>
    <row r="6" spans="1:15" ht="9.75" customHeight="1" x14ac:dyDescent="0.25">
      <c r="A6" s="33"/>
      <c r="B6" s="33"/>
      <c r="C6" s="33"/>
      <c r="D6" s="90"/>
      <c r="E6" s="46"/>
      <c r="F6" s="90"/>
      <c r="G6" s="46"/>
      <c r="H6" s="90"/>
      <c r="I6" s="47"/>
      <c r="J6" s="90"/>
      <c r="K6" s="199"/>
      <c r="N6" s="228"/>
    </row>
    <row r="7" spans="1:15" x14ac:dyDescent="0.25">
      <c r="A7" s="89" t="s">
        <v>36</v>
      </c>
      <c r="B7" s="33"/>
      <c r="C7" s="33"/>
      <c r="D7" s="90"/>
      <c r="E7" s="46"/>
      <c r="F7" s="90"/>
      <c r="G7" s="46"/>
      <c r="H7" s="90"/>
      <c r="I7" s="47"/>
      <c r="J7" s="90"/>
      <c r="K7" s="199"/>
      <c r="N7" s="228"/>
    </row>
    <row r="8" spans="1:15" x14ac:dyDescent="0.25">
      <c r="A8" s="33" t="s">
        <v>67</v>
      </c>
      <c r="B8" s="33" t="s">
        <v>68</v>
      </c>
      <c r="C8" s="91">
        <v>191672</v>
      </c>
      <c r="D8" s="90">
        <v>210000</v>
      </c>
      <c r="E8" s="46">
        <v>244139.55</v>
      </c>
      <c r="F8" s="90">
        <v>265721</v>
      </c>
      <c r="G8" s="46">
        <v>298228.78000000003</v>
      </c>
      <c r="H8" s="90">
        <v>288970</v>
      </c>
      <c r="I8" s="47">
        <v>315706.96000000002</v>
      </c>
      <c r="J8" s="90">
        <v>318344</v>
      </c>
      <c r="K8" s="199">
        <v>317931</v>
      </c>
      <c r="L8" s="222">
        <v>350630</v>
      </c>
      <c r="M8" s="222">
        <v>0</v>
      </c>
      <c r="N8" s="229">
        <v>410820</v>
      </c>
    </row>
    <row r="9" spans="1:15" x14ac:dyDescent="0.25">
      <c r="A9" s="33" t="s">
        <v>69</v>
      </c>
      <c r="B9" s="33" t="s">
        <v>70</v>
      </c>
      <c r="C9" s="91">
        <v>5662</v>
      </c>
      <c r="D9" s="90">
        <v>4500</v>
      </c>
      <c r="E9" s="46">
        <v>3710.69</v>
      </c>
      <c r="F9" s="90">
        <v>4000</v>
      </c>
      <c r="G9" s="46"/>
      <c r="H9" s="90">
        <v>4000</v>
      </c>
      <c r="I9" s="47">
        <v>2125.29</v>
      </c>
      <c r="J9" s="90">
        <v>4000</v>
      </c>
      <c r="K9" s="199">
        <v>902</v>
      </c>
      <c r="L9" s="222">
        <f>K9+(K9*'REVEN&amp;EXP - ALL FUNDS'!$E$5)</f>
        <v>929.06</v>
      </c>
      <c r="M9" s="222">
        <v>0</v>
      </c>
      <c r="N9" s="229">
        <f t="shared" ref="N9:N12" si="0">(L9*3%)+L9</f>
        <v>956.93179999999995</v>
      </c>
    </row>
    <row r="10" spans="1:15" x14ac:dyDescent="0.25">
      <c r="A10" s="33" t="s">
        <v>71</v>
      </c>
      <c r="B10" s="33" t="s">
        <v>72</v>
      </c>
      <c r="C10" s="91">
        <v>2965</v>
      </c>
      <c r="D10" s="90">
        <v>1500</v>
      </c>
      <c r="E10" s="46">
        <v>3023.1</v>
      </c>
      <c r="F10" s="90">
        <v>3000</v>
      </c>
      <c r="G10" s="46"/>
      <c r="H10" s="90">
        <v>3000</v>
      </c>
      <c r="I10" s="47">
        <v>2678.94</v>
      </c>
      <c r="J10" s="90">
        <v>3000</v>
      </c>
      <c r="K10" s="199">
        <v>3000</v>
      </c>
      <c r="L10" s="222">
        <f>K10+(K10*'REVEN&amp;EXP - ALL FUNDS'!$E$5)</f>
        <v>3090</v>
      </c>
      <c r="M10" s="222">
        <v>0</v>
      </c>
      <c r="N10" s="229">
        <f t="shared" si="0"/>
        <v>3182.7</v>
      </c>
    </row>
    <row r="11" spans="1:15" x14ac:dyDescent="0.25">
      <c r="A11" s="33" t="s">
        <v>73</v>
      </c>
      <c r="B11" s="33" t="s">
        <v>74</v>
      </c>
      <c r="C11" s="91">
        <v>164547</v>
      </c>
      <c r="D11" s="90">
        <v>135000</v>
      </c>
      <c r="E11" s="46">
        <v>208574.12</v>
      </c>
      <c r="F11" s="90">
        <v>115000</v>
      </c>
      <c r="G11" s="46">
        <v>219697.16</v>
      </c>
      <c r="H11" s="90">
        <v>115000</v>
      </c>
      <c r="I11" s="47">
        <v>184151.18</v>
      </c>
      <c r="J11" s="90">
        <v>225000</v>
      </c>
      <c r="K11" s="199">
        <v>231447</v>
      </c>
      <c r="L11" s="222">
        <v>293127</v>
      </c>
      <c r="M11" s="222">
        <v>0</v>
      </c>
      <c r="N11" s="229">
        <f t="shared" si="0"/>
        <v>301920.81</v>
      </c>
    </row>
    <row r="12" spans="1:15" ht="16.5" thickBot="1" x14ac:dyDescent="0.3">
      <c r="A12" s="33" t="s">
        <v>75</v>
      </c>
      <c r="B12" s="33" t="s">
        <v>76</v>
      </c>
      <c r="C12" s="94">
        <v>0</v>
      </c>
      <c r="D12" s="123">
        <v>0</v>
      </c>
      <c r="E12" s="51"/>
      <c r="F12" s="123">
        <v>5000</v>
      </c>
      <c r="G12" s="51">
        <v>1167.6199999999999</v>
      </c>
      <c r="H12" s="123">
        <v>5000</v>
      </c>
      <c r="I12" s="52">
        <v>50.17</v>
      </c>
      <c r="J12" s="123">
        <v>2000</v>
      </c>
      <c r="K12" s="200">
        <v>263</v>
      </c>
      <c r="L12" s="223">
        <f>K12+(K12*'REVEN&amp;EXP - ALL FUNDS'!$E$5)</f>
        <v>270.89</v>
      </c>
      <c r="M12" s="223">
        <v>0</v>
      </c>
      <c r="N12" s="230">
        <f t="shared" si="0"/>
        <v>279.01670000000001</v>
      </c>
    </row>
    <row r="13" spans="1:15" x14ac:dyDescent="0.25">
      <c r="A13" s="277" t="s">
        <v>77</v>
      </c>
      <c r="B13" s="277"/>
      <c r="C13" s="91">
        <f>SUM(C8:C12)</f>
        <v>364846</v>
      </c>
      <c r="D13" s="91">
        <f t="shared" ref="D13:E13" si="1">SUM(D8:D12)</f>
        <v>351000</v>
      </c>
      <c r="E13" s="124">
        <f t="shared" si="1"/>
        <v>459447.45999999996</v>
      </c>
      <c r="F13" s="91">
        <v>392721</v>
      </c>
      <c r="G13" s="124">
        <v>519093.56000000006</v>
      </c>
      <c r="H13" s="91">
        <v>415970</v>
      </c>
      <c r="I13" s="125">
        <f t="shared" ref="I13" si="2">SUM(I8:I12)</f>
        <v>504712.54</v>
      </c>
      <c r="J13" s="91">
        <f>SUM(J8:J12)</f>
        <v>552344</v>
      </c>
      <c r="K13" s="201">
        <f>SUM(K8:K12)</f>
        <v>553543</v>
      </c>
      <c r="L13" s="225">
        <f>SUM(L8:L12)</f>
        <v>648046.95000000007</v>
      </c>
      <c r="M13" s="225">
        <f>SUM(M8:M12)</f>
        <v>0</v>
      </c>
      <c r="N13" s="231">
        <f>SUM(N8:N12)</f>
        <v>717159.45850000007</v>
      </c>
    </row>
    <row r="14" spans="1:15" x14ac:dyDescent="0.25">
      <c r="A14" s="33"/>
      <c r="B14" s="33"/>
      <c r="C14" s="126"/>
      <c r="D14" s="90"/>
      <c r="E14" s="46"/>
      <c r="F14" s="90"/>
      <c r="G14" s="46"/>
      <c r="H14" s="90"/>
      <c r="I14" s="47"/>
      <c r="J14" s="90"/>
      <c r="K14" s="199"/>
      <c r="M14" s="33"/>
      <c r="N14" s="232"/>
    </row>
    <row r="15" spans="1:15" x14ac:dyDescent="0.25">
      <c r="A15" s="89" t="s">
        <v>37</v>
      </c>
      <c r="B15" s="33"/>
      <c r="C15" s="126"/>
      <c r="D15" s="90"/>
      <c r="E15" s="46"/>
      <c r="F15" s="90"/>
      <c r="G15" s="46"/>
      <c r="H15" s="90"/>
      <c r="I15" s="47"/>
      <c r="J15" s="90"/>
      <c r="K15" s="199"/>
      <c r="M15" s="33"/>
      <c r="N15" s="232"/>
    </row>
    <row r="16" spans="1:15" x14ac:dyDescent="0.25">
      <c r="A16" s="33" t="s">
        <v>78</v>
      </c>
      <c r="B16" s="33" t="s">
        <v>79</v>
      </c>
      <c r="C16" s="91">
        <v>32599</v>
      </c>
      <c r="D16" s="90">
        <v>21500</v>
      </c>
      <c r="E16" s="46">
        <v>20188.09</v>
      </c>
      <c r="F16" s="90">
        <v>20000</v>
      </c>
      <c r="G16" s="46">
        <v>12637.29</v>
      </c>
      <c r="H16" s="90">
        <v>20000</v>
      </c>
      <c r="I16" s="47">
        <v>13442.36</v>
      </c>
      <c r="J16" s="90">
        <v>20000</v>
      </c>
      <c r="K16" s="199">
        <v>20000</v>
      </c>
      <c r="L16" s="222">
        <f>K16+(K16*'REVEN&amp;EXP - ALL FUNDS'!$E$5)</f>
        <v>20600</v>
      </c>
      <c r="M16" s="222">
        <v>0</v>
      </c>
      <c r="N16" s="229">
        <f>(L16*3%)+L16</f>
        <v>21218</v>
      </c>
    </row>
    <row r="17" spans="1:14" x14ac:dyDescent="0.25">
      <c r="A17" s="33" t="s">
        <v>80</v>
      </c>
      <c r="B17" s="33" t="s">
        <v>81</v>
      </c>
      <c r="C17" s="91">
        <v>1621</v>
      </c>
      <c r="D17" s="90">
        <v>2000</v>
      </c>
      <c r="E17" s="46">
        <v>1853.24</v>
      </c>
      <c r="F17" s="90">
        <v>2000</v>
      </c>
      <c r="G17" s="46">
        <v>1893.18</v>
      </c>
      <c r="H17" s="90">
        <v>2000</v>
      </c>
      <c r="I17" s="47">
        <v>1608.77</v>
      </c>
      <c r="J17" s="90">
        <v>2000</v>
      </c>
      <c r="K17" s="199">
        <v>1794</v>
      </c>
      <c r="L17" s="222">
        <f>K17+(K17*'REVEN&amp;EXP - ALL FUNDS'!$E$5)</f>
        <v>1847.82</v>
      </c>
      <c r="M17" s="222">
        <v>0</v>
      </c>
      <c r="N17" s="229">
        <f t="shared" ref="N17:N20" si="3">(L17*3%)+L17</f>
        <v>1903.2546</v>
      </c>
    </row>
    <row r="18" spans="1:14" x14ac:dyDescent="0.25">
      <c r="A18" s="33" t="s">
        <v>82</v>
      </c>
      <c r="B18" s="33" t="s">
        <v>83</v>
      </c>
      <c r="C18" s="91">
        <v>17693</v>
      </c>
      <c r="D18" s="90">
        <v>13500</v>
      </c>
      <c r="E18" s="46">
        <v>12438.53</v>
      </c>
      <c r="F18" s="90">
        <v>3500</v>
      </c>
      <c r="G18" s="46">
        <v>16239.21</v>
      </c>
      <c r="H18" s="90">
        <v>3500</v>
      </c>
      <c r="I18" s="47">
        <v>15678</v>
      </c>
      <c r="J18" s="90">
        <v>3500</v>
      </c>
      <c r="K18" s="199">
        <v>15140</v>
      </c>
      <c r="L18" s="222">
        <f>K18+(K18*'REVEN&amp;EXP - ALL FUNDS'!$E$5)</f>
        <v>15594.2</v>
      </c>
      <c r="M18" s="222">
        <v>0</v>
      </c>
      <c r="N18" s="229">
        <f t="shared" si="3"/>
        <v>16062.026000000002</v>
      </c>
    </row>
    <row r="19" spans="1:14" x14ac:dyDescent="0.25">
      <c r="A19" s="33" t="s">
        <v>84</v>
      </c>
      <c r="B19" s="33" t="s">
        <v>85</v>
      </c>
      <c r="C19" s="91">
        <v>0</v>
      </c>
      <c r="D19" s="90">
        <v>0</v>
      </c>
      <c r="E19" s="46">
        <v>4693.8500000000004</v>
      </c>
      <c r="F19" s="90">
        <v>4500</v>
      </c>
      <c r="G19" s="46">
        <v>1470.44</v>
      </c>
      <c r="H19" s="90">
        <v>4500</v>
      </c>
      <c r="I19" s="47">
        <v>1617.84</v>
      </c>
      <c r="J19" s="90">
        <v>4500</v>
      </c>
      <c r="K19" s="199">
        <v>0</v>
      </c>
      <c r="L19" s="222">
        <f>K19+(K19*'REVEN&amp;EXP - ALL FUNDS'!$E$5)</f>
        <v>0</v>
      </c>
      <c r="M19" s="222">
        <v>0</v>
      </c>
      <c r="N19" s="229">
        <f t="shared" si="3"/>
        <v>0</v>
      </c>
    </row>
    <row r="20" spans="1:14" ht="16.5" thickBot="1" x14ac:dyDescent="0.3">
      <c r="A20" s="33" t="s">
        <v>86</v>
      </c>
      <c r="B20" s="33" t="s">
        <v>87</v>
      </c>
      <c r="C20" s="94">
        <v>0</v>
      </c>
      <c r="D20" s="123">
        <v>0</v>
      </c>
      <c r="E20" s="51">
        <f>6345.32+454.82</f>
        <v>6800.1399999999994</v>
      </c>
      <c r="F20" s="123">
        <v>7000</v>
      </c>
      <c r="G20" s="51">
        <v>4807.03</v>
      </c>
      <c r="H20" s="123">
        <v>7000</v>
      </c>
      <c r="I20" s="52">
        <v>535.35</v>
      </c>
      <c r="J20" s="123">
        <v>7000</v>
      </c>
      <c r="K20" s="200">
        <v>0</v>
      </c>
      <c r="L20" s="223">
        <f>K20+(K20*'REVEN&amp;EXP - ALL FUNDS'!$E$5)</f>
        <v>0</v>
      </c>
      <c r="M20" s="223">
        <v>0</v>
      </c>
      <c r="N20" s="230">
        <f t="shared" si="3"/>
        <v>0</v>
      </c>
    </row>
    <row r="21" spans="1:14" x14ac:dyDescent="0.25">
      <c r="A21" s="277" t="s">
        <v>88</v>
      </c>
      <c r="B21" s="277"/>
      <c r="C21" s="91">
        <f>SUM(C16:C20)</f>
        <v>51913</v>
      </c>
      <c r="D21" s="91">
        <f t="shared" ref="D21:E21" si="4">SUM(D16:D20)</f>
        <v>37000</v>
      </c>
      <c r="E21" s="124">
        <f t="shared" si="4"/>
        <v>45973.85</v>
      </c>
      <c r="F21" s="91">
        <v>37000</v>
      </c>
      <c r="G21" s="124">
        <v>37047.15</v>
      </c>
      <c r="H21" s="91">
        <v>37000</v>
      </c>
      <c r="I21" s="125">
        <f t="shared" ref="I21" si="5">SUM(I16:I20)</f>
        <v>32882.32</v>
      </c>
      <c r="J21" s="91">
        <f>SUM(J16:J20)</f>
        <v>37000</v>
      </c>
      <c r="K21" s="201">
        <f>SUM(K16:K20)</f>
        <v>36934</v>
      </c>
      <c r="L21" s="225">
        <f>SUM(L16:L20)</f>
        <v>38042.020000000004</v>
      </c>
      <c r="M21" s="225">
        <f>SUM(M16:M20)</f>
        <v>0</v>
      </c>
      <c r="N21" s="231">
        <f>SUM(N16:N20)</f>
        <v>39183.280599999998</v>
      </c>
    </row>
    <row r="22" spans="1:14" x14ac:dyDescent="0.25">
      <c r="A22" s="33"/>
      <c r="B22" s="33"/>
      <c r="C22" s="91"/>
      <c r="D22" s="90"/>
      <c r="E22" s="46"/>
      <c r="F22" s="90"/>
      <c r="G22" s="46"/>
      <c r="H22" s="90"/>
      <c r="I22" s="47"/>
      <c r="J22" s="90"/>
      <c r="K22" s="199"/>
      <c r="M22" s="33"/>
      <c r="N22" s="232"/>
    </row>
    <row r="23" spans="1:14" x14ac:dyDescent="0.25">
      <c r="A23" s="89" t="s">
        <v>38</v>
      </c>
      <c r="B23" s="33"/>
      <c r="C23" s="91"/>
      <c r="D23" s="90"/>
      <c r="E23" s="46"/>
      <c r="F23" s="90"/>
      <c r="G23" s="46"/>
      <c r="H23" s="90"/>
      <c r="I23" s="47"/>
      <c r="J23" s="90"/>
      <c r="K23" s="199"/>
      <c r="M23" s="33"/>
      <c r="N23" s="232"/>
    </row>
    <row r="24" spans="1:14" x14ac:dyDescent="0.25">
      <c r="A24" s="33" t="s">
        <v>89</v>
      </c>
      <c r="B24" s="33" t="s">
        <v>90</v>
      </c>
      <c r="C24" s="91">
        <v>0</v>
      </c>
      <c r="D24" s="90">
        <v>0</v>
      </c>
      <c r="E24" s="46">
        <v>0</v>
      </c>
      <c r="F24" s="90">
        <v>20000</v>
      </c>
      <c r="G24" s="46">
        <v>24046</v>
      </c>
      <c r="H24" s="90">
        <v>20000</v>
      </c>
      <c r="I24" s="47">
        <v>13680.43</v>
      </c>
      <c r="J24" s="90">
        <v>30000</v>
      </c>
      <c r="K24" s="199">
        <v>12646</v>
      </c>
      <c r="L24" s="222">
        <f>K24+(K24*'REVEN&amp;EXP - ALL FUNDS'!$E$5)</f>
        <v>13025.38</v>
      </c>
      <c r="M24" s="222">
        <v>0</v>
      </c>
      <c r="N24" s="229">
        <f>(L24*3%)+L24</f>
        <v>13416.141399999999</v>
      </c>
    </row>
    <row r="25" spans="1:14" x14ac:dyDescent="0.25">
      <c r="A25" s="33" t="s">
        <v>91</v>
      </c>
      <c r="B25" s="33" t="s">
        <v>92</v>
      </c>
      <c r="C25" s="91">
        <v>0</v>
      </c>
      <c r="D25" s="90">
        <v>0</v>
      </c>
      <c r="E25" s="46">
        <v>0</v>
      </c>
      <c r="F25" s="90">
        <v>2000</v>
      </c>
      <c r="G25" s="46">
        <v>71733.440000000002</v>
      </c>
      <c r="H25" s="90">
        <v>2000</v>
      </c>
      <c r="I25" s="47">
        <v>19750.88</v>
      </c>
      <c r="J25" s="90">
        <v>20000</v>
      </c>
      <c r="K25" s="199">
        <v>17654</v>
      </c>
      <c r="L25" s="222">
        <f>K25+(K25*'REVEN&amp;EXP - ALL FUNDS'!$E$5)</f>
        <v>18183.62</v>
      </c>
      <c r="M25" s="222">
        <v>0</v>
      </c>
      <c r="N25" s="229">
        <f t="shared" ref="N25:N37" si="6">(L25*3%)+L25</f>
        <v>18729.1286</v>
      </c>
    </row>
    <row r="26" spans="1:14" x14ac:dyDescent="0.25">
      <c r="A26" s="33" t="s">
        <v>93</v>
      </c>
      <c r="B26" s="33" t="s">
        <v>94</v>
      </c>
      <c r="C26" s="91">
        <v>0</v>
      </c>
      <c r="D26" s="90">
        <v>0</v>
      </c>
      <c r="E26" s="46">
        <v>43093.87</v>
      </c>
      <c r="F26" s="90">
        <v>2000</v>
      </c>
      <c r="G26" s="46">
        <v>37288.800000000003</v>
      </c>
      <c r="H26" s="90">
        <v>2000</v>
      </c>
      <c r="I26" s="47">
        <v>7509</v>
      </c>
      <c r="J26" s="90">
        <v>2000</v>
      </c>
      <c r="K26" s="199">
        <v>55121</v>
      </c>
      <c r="L26" s="222">
        <f>K26+(K26*'REVEN&amp;EXP - ALL FUNDS'!$E$5)</f>
        <v>56774.63</v>
      </c>
      <c r="M26" s="222">
        <v>0</v>
      </c>
      <c r="N26" s="229">
        <f t="shared" si="6"/>
        <v>58477.868899999994</v>
      </c>
    </row>
    <row r="27" spans="1:14" x14ac:dyDescent="0.25">
      <c r="A27" s="33" t="s">
        <v>95</v>
      </c>
      <c r="B27" s="33" t="s">
        <v>96</v>
      </c>
      <c r="C27" s="91">
        <v>25</v>
      </c>
      <c r="D27" s="90">
        <v>12</v>
      </c>
      <c r="E27" s="46">
        <v>85</v>
      </c>
      <c r="F27" s="90">
        <v>100</v>
      </c>
      <c r="G27" s="46">
        <v>0</v>
      </c>
      <c r="H27" s="90">
        <v>100</v>
      </c>
      <c r="I27" s="47">
        <v>-25</v>
      </c>
      <c r="J27" s="90">
        <v>100</v>
      </c>
      <c r="K27" s="199">
        <v>100</v>
      </c>
      <c r="L27" s="222">
        <f>K27+(K27*'REVEN&amp;EXP - ALL FUNDS'!$E$5)</f>
        <v>103</v>
      </c>
      <c r="M27" s="222">
        <v>0</v>
      </c>
      <c r="N27" s="229">
        <f t="shared" si="6"/>
        <v>106.09</v>
      </c>
    </row>
    <row r="28" spans="1:14" x14ac:dyDescent="0.25">
      <c r="A28" s="33" t="s">
        <v>97</v>
      </c>
      <c r="B28" s="33" t="s">
        <v>98</v>
      </c>
      <c r="C28" s="91">
        <v>0</v>
      </c>
      <c r="D28" s="90">
        <v>0</v>
      </c>
      <c r="E28" s="46"/>
      <c r="F28" s="90">
        <v>0</v>
      </c>
      <c r="G28" s="46"/>
      <c r="H28" s="90">
        <v>0</v>
      </c>
      <c r="I28" s="47"/>
      <c r="J28" s="90">
        <v>0</v>
      </c>
      <c r="K28" s="199">
        <v>0</v>
      </c>
      <c r="L28" s="222">
        <f>K28+(K28*'REVEN&amp;EXP - ALL FUNDS'!$E$5)</f>
        <v>0</v>
      </c>
      <c r="M28" s="222">
        <v>0</v>
      </c>
      <c r="N28" s="229">
        <f t="shared" si="6"/>
        <v>0</v>
      </c>
    </row>
    <row r="29" spans="1:14" x14ac:dyDescent="0.25">
      <c r="A29" s="33" t="s">
        <v>99</v>
      </c>
      <c r="B29" s="33" t="s">
        <v>100</v>
      </c>
      <c r="C29" s="91">
        <v>95</v>
      </c>
      <c r="D29" s="90">
        <v>45</v>
      </c>
      <c r="E29" s="46">
        <v>65</v>
      </c>
      <c r="F29" s="90">
        <v>50</v>
      </c>
      <c r="G29" s="46">
        <v>50</v>
      </c>
      <c r="H29" s="90">
        <v>50</v>
      </c>
      <c r="I29" s="47">
        <v>156</v>
      </c>
      <c r="J29" s="90">
        <v>50</v>
      </c>
      <c r="K29" s="199">
        <v>75</v>
      </c>
      <c r="L29" s="222">
        <f>K29+(K29*'REVEN&amp;EXP - ALL FUNDS'!$E$5)</f>
        <v>77.25</v>
      </c>
      <c r="M29" s="222">
        <v>0</v>
      </c>
      <c r="N29" s="229">
        <f t="shared" si="6"/>
        <v>79.567499999999995</v>
      </c>
    </row>
    <row r="30" spans="1:14" x14ac:dyDescent="0.25">
      <c r="A30" s="33" t="s">
        <v>101</v>
      </c>
      <c r="B30" s="33" t="s">
        <v>102</v>
      </c>
      <c r="C30" s="91">
        <v>0</v>
      </c>
      <c r="D30" s="90">
        <v>0</v>
      </c>
      <c r="E30" s="46">
        <v>0</v>
      </c>
      <c r="F30" s="90">
        <v>3000</v>
      </c>
      <c r="G30" s="46">
        <v>100</v>
      </c>
      <c r="H30" s="90">
        <v>3000</v>
      </c>
      <c r="I30" s="47">
        <v>0</v>
      </c>
      <c r="J30" s="90">
        <v>3000</v>
      </c>
      <c r="K30" s="199">
        <v>3000</v>
      </c>
      <c r="L30" s="222">
        <f>K30+(K30*'REVEN&amp;EXP - ALL FUNDS'!$E$5)</f>
        <v>3090</v>
      </c>
      <c r="M30" s="222">
        <v>0</v>
      </c>
      <c r="N30" s="229">
        <f t="shared" si="6"/>
        <v>3182.7</v>
      </c>
    </row>
    <row r="31" spans="1:14" x14ac:dyDescent="0.25">
      <c r="A31" s="33" t="s">
        <v>103</v>
      </c>
      <c r="B31" s="33" t="s">
        <v>104</v>
      </c>
      <c r="C31" s="91">
        <v>0</v>
      </c>
      <c r="D31" s="90">
        <v>0</v>
      </c>
      <c r="E31" s="46">
        <v>0</v>
      </c>
      <c r="F31" s="90">
        <v>3000</v>
      </c>
      <c r="G31" s="46">
        <v>100</v>
      </c>
      <c r="H31" s="90">
        <v>3000</v>
      </c>
      <c r="I31" s="47">
        <v>0</v>
      </c>
      <c r="J31" s="90">
        <v>3000</v>
      </c>
      <c r="K31" s="199">
        <v>0</v>
      </c>
      <c r="L31" s="222">
        <v>3000</v>
      </c>
      <c r="M31" s="222">
        <v>0</v>
      </c>
      <c r="N31" s="229">
        <f t="shared" si="6"/>
        <v>3090</v>
      </c>
    </row>
    <row r="32" spans="1:14" x14ac:dyDescent="0.25">
      <c r="A32" s="33" t="s">
        <v>105</v>
      </c>
      <c r="B32" s="33" t="s">
        <v>106</v>
      </c>
      <c r="C32" s="91">
        <v>0</v>
      </c>
      <c r="D32" s="90">
        <v>0</v>
      </c>
      <c r="E32" s="46">
        <v>0</v>
      </c>
      <c r="F32" s="90">
        <v>2000</v>
      </c>
      <c r="G32" s="46">
        <v>0</v>
      </c>
      <c r="H32" s="90">
        <v>2000</v>
      </c>
      <c r="I32" s="47">
        <v>0</v>
      </c>
      <c r="J32" s="90">
        <v>2000</v>
      </c>
      <c r="K32" s="199">
        <v>0</v>
      </c>
      <c r="L32" s="222">
        <v>2000</v>
      </c>
      <c r="M32" s="222">
        <v>0</v>
      </c>
      <c r="N32" s="229">
        <f t="shared" si="6"/>
        <v>2060</v>
      </c>
    </row>
    <row r="33" spans="1:14" x14ac:dyDescent="0.25">
      <c r="A33" s="33" t="s">
        <v>107</v>
      </c>
      <c r="B33" s="33" t="s">
        <v>108</v>
      </c>
      <c r="C33" s="91">
        <v>276</v>
      </c>
      <c r="D33" s="90">
        <v>70</v>
      </c>
      <c r="E33" s="46">
        <v>35</v>
      </c>
      <c r="F33" s="90">
        <v>50</v>
      </c>
      <c r="G33" s="46">
        <v>105</v>
      </c>
      <c r="H33" s="90">
        <v>50</v>
      </c>
      <c r="I33" s="47">
        <v>25</v>
      </c>
      <c r="J33" s="90">
        <v>50</v>
      </c>
      <c r="K33" s="199">
        <v>175</v>
      </c>
      <c r="L33" s="222">
        <f>K33+(K33*'REVEN&amp;EXP - ALL FUNDS'!$E$5)</f>
        <v>180.25</v>
      </c>
      <c r="M33" s="222">
        <v>0</v>
      </c>
      <c r="N33" s="229">
        <f t="shared" si="6"/>
        <v>185.6575</v>
      </c>
    </row>
    <row r="34" spans="1:14" x14ac:dyDescent="0.25">
      <c r="A34" s="33" t="s">
        <v>109</v>
      </c>
      <c r="B34" s="33" t="s">
        <v>110</v>
      </c>
      <c r="C34" s="91">
        <v>18</v>
      </c>
      <c r="D34" s="90">
        <v>9</v>
      </c>
      <c r="E34" s="46">
        <v>18</v>
      </c>
      <c r="F34" s="90">
        <v>20</v>
      </c>
      <c r="G34" s="46">
        <v>0</v>
      </c>
      <c r="H34" s="90">
        <v>20</v>
      </c>
      <c r="I34" s="47">
        <v>3</v>
      </c>
      <c r="J34" s="90">
        <v>20</v>
      </c>
      <c r="K34" s="199">
        <v>15</v>
      </c>
      <c r="L34" s="222">
        <v>20</v>
      </c>
      <c r="M34" s="222">
        <v>0</v>
      </c>
      <c r="N34" s="229">
        <f t="shared" si="6"/>
        <v>20.6</v>
      </c>
    </row>
    <row r="35" spans="1:14" x14ac:dyDescent="0.25">
      <c r="A35" s="33" t="s">
        <v>111</v>
      </c>
      <c r="B35" s="33" t="s">
        <v>112</v>
      </c>
      <c r="C35" s="91">
        <v>1200</v>
      </c>
      <c r="D35" s="90">
        <v>1000</v>
      </c>
      <c r="E35" s="46">
        <v>3300</v>
      </c>
      <c r="F35" s="90">
        <v>1200</v>
      </c>
      <c r="G35" s="46">
        <v>200</v>
      </c>
      <c r="H35" s="90">
        <v>1200</v>
      </c>
      <c r="I35" s="47">
        <v>300</v>
      </c>
      <c r="J35" s="90">
        <v>1200</v>
      </c>
      <c r="K35" s="199">
        <v>0</v>
      </c>
      <c r="L35" s="222">
        <v>1200</v>
      </c>
      <c r="M35" s="222">
        <v>0</v>
      </c>
      <c r="N35" s="229">
        <f t="shared" si="6"/>
        <v>1236</v>
      </c>
    </row>
    <row r="36" spans="1:14" x14ac:dyDescent="0.25">
      <c r="A36" s="33" t="s">
        <v>113</v>
      </c>
      <c r="B36" s="33" t="s">
        <v>114</v>
      </c>
      <c r="C36" s="91">
        <v>0</v>
      </c>
      <c r="D36" s="90">
        <v>0</v>
      </c>
      <c r="E36" s="46">
        <v>0</v>
      </c>
      <c r="F36" s="90">
        <v>200</v>
      </c>
      <c r="G36" s="46">
        <v>0</v>
      </c>
      <c r="H36" s="90">
        <v>200</v>
      </c>
      <c r="I36" s="47">
        <v>0</v>
      </c>
      <c r="J36" s="90">
        <v>200</v>
      </c>
      <c r="K36" s="199">
        <v>0</v>
      </c>
      <c r="L36" s="222">
        <v>200</v>
      </c>
      <c r="M36" s="222">
        <v>0</v>
      </c>
      <c r="N36" s="229">
        <f t="shared" si="6"/>
        <v>206</v>
      </c>
    </row>
    <row r="37" spans="1:14" ht="16.5" thickBot="1" x14ac:dyDescent="0.3">
      <c r="A37" s="33" t="s">
        <v>115</v>
      </c>
      <c r="B37" s="33" t="s">
        <v>116</v>
      </c>
      <c r="C37" s="94">
        <v>0</v>
      </c>
      <c r="D37" s="123">
        <v>0</v>
      </c>
      <c r="E37" s="51">
        <v>0</v>
      </c>
      <c r="F37" s="123">
        <v>1000</v>
      </c>
      <c r="G37" s="51">
        <v>0</v>
      </c>
      <c r="H37" s="123">
        <v>1000</v>
      </c>
      <c r="I37" s="52">
        <v>0</v>
      </c>
      <c r="J37" s="123">
        <v>1000</v>
      </c>
      <c r="K37" s="200">
        <v>0</v>
      </c>
      <c r="L37" s="223">
        <v>1000</v>
      </c>
      <c r="M37" s="223">
        <v>0</v>
      </c>
      <c r="N37" s="230">
        <f t="shared" si="6"/>
        <v>1030</v>
      </c>
    </row>
    <row r="38" spans="1:14" x14ac:dyDescent="0.25">
      <c r="A38" s="277" t="s">
        <v>117</v>
      </c>
      <c r="B38" s="277"/>
      <c r="C38" s="91">
        <f t="shared" ref="C38:J38" si="7">SUM(C24:C37)</f>
        <v>1614</v>
      </c>
      <c r="D38" s="91">
        <f t="shared" si="7"/>
        <v>1136</v>
      </c>
      <c r="E38" s="127">
        <f t="shared" si="7"/>
        <v>46596.87</v>
      </c>
      <c r="F38" s="91">
        <v>34620</v>
      </c>
      <c r="G38" s="127">
        <v>133623.24</v>
      </c>
      <c r="H38" s="91">
        <v>34620</v>
      </c>
      <c r="I38" s="58">
        <f t="shared" si="7"/>
        <v>41399.31</v>
      </c>
      <c r="J38" s="91">
        <f t="shared" si="7"/>
        <v>62620</v>
      </c>
      <c r="K38" s="201">
        <f t="shared" ref="K38" si="8">SUM(K24:K37)</f>
        <v>88786</v>
      </c>
      <c r="L38" s="225">
        <f t="shared" ref="L38" si="9">SUM(L24:L37)</f>
        <v>98854.13</v>
      </c>
      <c r="M38" s="225">
        <f>SUM(M24:M37)</f>
        <v>0</v>
      </c>
      <c r="N38" s="231">
        <f>SUM(N24:N37)</f>
        <v>101819.7539</v>
      </c>
    </row>
    <row r="39" spans="1:14" x14ac:dyDescent="0.25">
      <c r="E39" s="128"/>
      <c r="G39" s="128"/>
      <c r="I39" s="129"/>
      <c r="K39" s="204"/>
      <c r="M39" s="33"/>
      <c r="N39" s="232"/>
    </row>
    <row r="40" spans="1:14" hidden="1" x14ac:dyDescent="0.25">
      <c r="A40" s="89" t="s">
        <v>39</v>
      </c>
      <c r="C40" s="130"/>
      <c r="D40" s="90"/>
      <c r="E40" s="46"/>
      <c r="F40" s="90"/>
      <c r="G40" s="46"/>
      <c r="H40" s="90"/>
      <c r="I40" s="47"/>
      <c r="J40" s="90"/>
      <c r="K40" s="199"/>
      <c r="M40" s="33"/>
      <c r="N40" s="232"/>
    </row>
    <row r="41" spans="1:14" ht="16.5" hidden="1" thickBot="1" x14ac:dyDescent="0.3">
      <c r="A41" s="33" t="s">
        <v>118</v>
      </c>
      <c r="B41" s="33" t="s">
        <v>119</v>
      </c>
      <c r="C41" s="94">
        <v>0</v>
      </c>
      <c r="D41" s="123">
        <v>0</v>
      </c>
      <c r="E41" s="51"/>
      <c r="F41" s="123">
        <v>0</v>
      </c>
      <c r="G41" s="51"/>
      <c r="H41" s="123">
        <v>0</v>
      </c>
      <c r="I41" s="52"/>
      <c r="J41" s="123">
        <v>0</v>
      </c>
      <c r="K41" s="200">
        <v>0</v>
      </c>
      <c r="M41" s="33"/>
      <c r="N41" s="232"/>
    </row>
    <row r="42" spans="1:14" hidden="1" x14ac:dyDescent="0.25">
      <c r="A42" s="277" t="s">
        <v>120</v>
      </c>
      <c r="B42" s="277"/>
      <c r="C42" s="91">
        <f>SUM(C41)</f>
        <v>0</v>
      </c>
      <c r="D42" s="90">
        <f t="shared" ref="D42" si="10">SUM(D41)</f>
        <v>0</v>
      </c>
      <c r="E42" s="46"/>
      <c r="F42" s="90">
        <v>0</v>
      </c>
      <c r="G42" s="46"/>
      <c r="H42" s="90">
        <v>0</v>
      </c>
      <c r="I42" s="47"/>
      <c r="J42" s="90">
        <f>SUM(J41)</f>
        <v>0</v>
      </c>
      <c r="K42" s="199">
        <f>SUM(K41)</f>
        <v>0</v>
      </c>
      <c r="M42" s="33"/>
      <c r="N42" s="232"/>
    </row>
    <row r="43" spans="1:14" hidden="1" x14ac:dyDescent="0.25">
      <c r="C43" s="130"/>
      <c r="D43" s="90"/>
      <c r="E43" s="46"/>
      <c r="F43" s="90"/>
      <c r="G43" s="46"/>
      <c r="H43" s="90"/>
      <c r="I43" s="47"/>
      <c r="J43" s="90"/>
      <c r="K43" s="199"/>
      <c r="M43" s="33"/>
      <c r="N43" s="232"/>
    </row>
    <row r="44" spans="1:14" hidden="1" x14ac:dyDescent="0.25">
      <c r="C44" s="130"/>
      <c r="D44" s="90"/>
      <c r="E44" s="46"/>
      <c r="F44" s="90"/>
      <c r="G44" s="46"/>
      <c r="H44" s="90"/>
      <c r="I44" s="47"/>
      <c r="J44" s="90"/>
      <c r="K44" s="199"/>
      <c r="M44" s="33"/>
      <c r="N44" s="232"/>
    </row>
    <row r="45" spans="1:14" hidden="1" x14ac:dyDescent="0.25">
      <c r="E45" s="128"/>
      <c r="G45" s="128"/>
      <c r="I45" s="129"/>
      <c r="K45" s="204"/>
      <c r="M45" s="33"/>
      <c r="N45" s="232"/>
    </row>
    <row r="46" spans="1:14" x14ac:dyDescent="0.25">
      <c r="A46" s="278" t="s">
        <v>585</v>
      </c>
      <c r="B46" s="278"/>
      <c r="C46" s="33"/>
      <c r="D46" s="90"/>
      <c r="E46" s="46"/>
      <c r="F46" s="90"/>
      <c r="G46" s="46"/>
      <c r="H46" s="90"/>
      <c r="I46" s="47"/>
      <c r="J46" s="90"/>
      <c r="K46" s="199"/>
      <c r="M46" s="33"/>
      <c r="N46" s="232"/>
    </row>
    <row r="47" spans="1:14" x14ac:dyDescent="0.25">
      <c r="A47" s="33" t="s">
        <v>121</v>
      </c>
      <c r="B47" s="33" t="s">
        <v>596</v>
      </c>
      <c r="C47" s="91">
        <v>4699.08</v>
      </c>
      <c r="D47" s="90">
        <v>4000</v>
      </c>
      <c r="E47" s="46">
        <v>99571.35</v>
      </c>
      <c r="F47" s="90">
        <v>3500</v>
      </c>
      <c r="G47" s="46">
        <v>-5911.1</v>
      </c>
      <c r="H47" s="90">
        <v>3500</v>
      </c>
      <c r="I47" s="47">
        <v>1315.75</v>
      </c>
      <c r="J47" s="90">
        <v>3500</v>
      </c>
      <c r="K47" s="199">
        <v>14550</v>
      </c>
      <c r="L47" s="222">
        <v>3500</v>
      </c>
      <c r="M47" s="222">
        <v>14987</v>
      </c>
      <c r="N47" s="229">
        <f t="shared" ref="N47:N78" si="11">(L47*3%)+L47</f>
        <v>3605</v>
      </c>
    </row>
    <row r="48" spans="1:14" x14ac:dyDescent="0.25">
      <c r="A48" s="33" t="s">
        <v>122</v>
      </c>
      <c r="B48" s="33" t="s">
        <v>597</v>
      </c>
      <c r="C48" s="91">
        <v>4361.74</v>
      </c>
      <c r="D48" s="90">
        <v>3500</v>
      </c>
      <c r="E48" s="46">
        <v>2876.33</v>
      </c>
      <c r="F48" s="90">
        <v>5000</v>
      </c>
      <c r="G48" s="46">
        <v>4435.24</v>
      </c>
      <c r="H48" s="90">
        <v>3000</v>
      </c>
      <c r="I48" s="47">
        <v>1824.3</v>
      </c>
      <c r="J48" s="90">
        <v>3000</v>
      </c>
      <c r="K48" s="199">
        <v>541</v>
      </c>
      <c r="L48" s="222">
        <v>3000</v>
      </c>
      <c r="M48" s="222">
        <v>557</v>
      </c>
      <c r="N48" s="229">
        <f t="shared" si="11"/>
        <v>3090</v>
      </c>
    </row>
    <row r="49" spans="1:14" x14ac:dyDescent="0.25">
      <c r="A49" s="33" t="s">
        <v>123</v>
      </c>
      <c r="B49" s="33" t="s">
        <v>124</v>
      </c>
      <c r="C49" s="91">
        <v>32527.5</v>
      </c>
      <c r="D49" s="90">
        <v>24000</v>
      </c>
      <c r="E49" s="46">
        <v>0</v>
      </c>
      <c r="F49" s="90">
        <v>30000</v>
      </c>
      <c r="G49" s="46">
        <v>4001.16</v>
      </c>
      <c r="H49" s="90">
        <v>20000</v>
      </c>
      <c r="I49" s="47">
        <v>0</v>
      </c>
      <c r="J49" s="90">
        <v>8000</v>
      </c>
      <c r="K49" s="199">
        <v>0</v>
      </c>
      <c r="L49" s="222">
        <v>8000</v>
      </c>
      <c r="M49" s="222">
        <v>0</v>
      </c>
      <c r="N49" s="229">
        <f t="shared" si="11"/>
        <v>8240</v>
      </c>
    </row>
    <row r="50" spans="1:14" x14ac:dyDescent="0.25">
      <c r="A50" s="33" t="s">
        <v>125</v>
      </c>
      <c r="B50" s="33" t="s">
        <v>598</v>
      </c>
      <c r="C50" s="91">
        <v>3083</v>
      </c>
      <c r="D50" s="90">
        <v>2500</v>
      </c>
      <c r="E50" s="46">
        <v>0</v>
      </c>
      <c r="F50" s="90">
        <v>2000</v>
      </c>
      <c r="G50" s="46">
        <v>1440</v>
      </c>
      <c r="H50" s="90">
        <v>2000</v>
      </c>
      <c r="I50" s="47">
        <v>669.36</v>
      </c>
      <c r="J50" s="90">
        <v>2000</v>
      </c>
      <c r="K50" s="199">
        <v>1171</v>
      </c>
      <c r="L50" s="222">
        <v>2000</v>
      </c>
      <c r="M50" s="222">
        <v>1206</v>
      </c>
      <c r="N50" s="229">
        <f t="shared" si="11"/>
        <v>2060</v>
      </c>
    </row>
    <row r="51" spans="1:14" x14ac:dyDescent="0.25">
      <c r="A51" s="33" t="s">
        <v>126</v>
      </c>
      <c r="B51" s="33" t="s">
        <v>127</v>
      </c>
      <c r="C51" s="91">
        <v>1120</v>
      </c>
      <c r="D51" s="90">
        <v>1000</v>
      </c>
      <c r="E51" s="46">
        <v>0</v>
      </c>
      <c r="F51" s="90">
        <v>1000</v>
      </c>
      <c r="G51" s="46">
        <v>140.18</v>
      </c>
      <c r="H51" s="90">
        <v>1000</v>
      </c>
      <c r="I51" s="47">
        <v>0</v>
      </c>
      <c r="J51" s="90">
        <v>1000</v>
      </c>
      <c r="K51" s="199">
        <v>20</v>
      </c>
      <c r="L51" s="222">
        <v>1000</v>
      </c>
      <c r="M51" s="222">
        <v>21</v>
      </c>
      <c r="N51" s="229">
        <f t="shared" si="11"/>
        <v>1030</v>
      </c>
    </row>
    <row r="52" spans="1:14" x14ac:dyDescent="0.25">
      <c r="A52" s="33" t="s">
        <v>128</v>
      </c>
      <c r="B52" s="33" t="s">
        <v>599</v>
      </c>
      <c r="C52" s="91">
        <v>60930.25</v>
      </c>
      <c r="D52" s="90">
        <v>45000</v>
      </c>
      <c r="E52" s="46">
        <v>497.75</v>
      </c>
      <c r="F52" s="90">
        <v>40000</v>
      </c>
      <c r="G52" s="46">
        <v>36335.440000000002</v>
      </c>
      <c r="H52" s="90">
        <v>25000</v>
      </c>
      <c r="I52" s="47">
        <v>14045.48</v>
      </c>
      <c r="J52" s="90">
        <v>40000</v>
      </c>
      <c r="K52" s="199">
        <v>17777</v>
      </c>
      <c r="L52" s="222">
        <v>40000</v>
      </c>
      <c r="M52" s="222">
        <v>18310</v>
      </c>
      <c r="N52" s="229">
        <f t="shared" si="11"/>
        <v>41200</v>
      </c>
    </row>
    <row r="53" spans="1:14" x14ac:dyDescent="0.25">
      <c r="A53" s="33" t="s">
        <v>129</v>
      </c>
      <c r="B53" s="33" t="s">
        <v>600</v>
      </c>
      <c r="C53" s="91">
        <v>1616.15</v>
      </c>
      <c r="D53" s="90">
        <v>1000</v>
      </c>
      <c r="E53" s="46">
        <v>0</v>
      </c>
      <c r="F53" s="90">
        <v>1000</v>
      </c>
      <c r="G53" s="46">
        <v>131.15</v>
      </c>
      <c r="H53" s="90">
        <v>1000</v>
      </c>
      <c r="I53" s="47">
        <v>39</v>
      </c>
      <c r="J53" s="90">
        <v>1000</v>
      </c>
      <c r="K53" s="199">
        <v>14</v>
      </c>
      <c r="L53" s="222">
        <v>1000</v>
      </c>
      <c r="M53" s="222">
        <v>14</v>
      </c>
      <c r="N53" s="229">
        <f t="shared" si="11"/>
        <v>1030</v>
      </c>
    </row>
    <row r="54" spans="1:14" x14ac:dyDescent="0.25">
      <c r="A54" s="33" t="s">
        <v>130</v>
      </c>
      <c r="B54" s="33" t="s">
        <v>131</v>
      </c>
      <c r="C54" s="91">
        <v>300</v>
      </c>
      <c r="D54" s="90">
        <v>200</v>
      </c>
      <c r="E54" s="46">
        <v>242</v>
      </c>
      <c r="F54" s="90">
        <v>200</v>
      </c>
      <c r="G54" s="46">
        <v>174</v>
      </c>
      <c r="H54" s="90">
        <v>200</v>
      </c>
      <c r="I54" s="47">
        <v>0</v>
      </c>
      <c r="J54" s="90">
        <v>200</v>
      </c>
      <c r="K54" s="199">
        <v>61</v>
      </c>
      <c r="L54" s="222">
        <v>200</v>
      </c>
      <c r="M54" s="222">
        <v>63</v>
      </c>
      <c r="N54" s="229">
        <f t="shared" si="11"/>
        <v>206</v>
      </c>
    </row>
    <row r="55" spans="1:14" x14ac:dyDescent="0.25">
      <c r="A55" s="33" t="s">
        <v>132</v>
      </c>
      <c r="B55" s="33" t="s">
        <v>601</v>
      </c>
      <c r="C55" s="91">
        <v>560.46</v>
      </c>
      <c r="D55" s="90">
        <v>1800</v>
      </c>
      <c r="E55" s="46">
        <v>0</v>
      </c>
      <c r="F55" s="90">
        <v>500</v>
      </c>
      <c r="G55" s="46">
        <v>231.54</v>
      </c>
      <c r="H55" s="90">
        <v>500</v>
      </c>
      <c r="I55" s="47">
        <v>65.5</v>
      </c>
      <c r="J55" s="90">
        <v>500</v>
      </c>
      <c r="K55" s="199">
        <v>18</v>
      </c>
      <c r="L55" s="222">
        <v>500</v>
      </c>
      <c r="M55" s="222">
        <v>19</v>
      </c>
      <c r="N55" s="229">
        <f t="shared" si="11"/>
        <v>515</v>
      </c>
    </row>
    <row r="56" spans="1:14" x14ac:dyDescent="0.25">
      <c r="A56" s="33" t="s">
        <v>133</v>
      </c>
      <c r="B56" s="33" t="s">
        <v>602</v>
      </c>
      <c r="C56" s="91">
        <v>469.51</v>
      </c>
      <c r="D56" s="90">
        <v>400</v>
      </c>
      <c r="E56" s="46">
        <v>1846.53</v>
      </c>
      <c r="F56" s="90">
        <v>400</v>
      </c>
      <c r="G56" s="46">
        <v>92.12</v>
      </c>
      <c r="H56" s="90">
        <v>100</v>
      </c>
      <c r="I56" s="47">
        <v>12.99</v>
      </c>
      <c r="J56" s="90">
        <v>400</v>
      </c>
      <c r="K56" s="199">
        <v>4</v>
      </c>
      <c r="L56" s="222">
        <v>400</v>
      </c>
      <c r="M56" s="222">
        <v>4</v>
      </c>
      <c r="N56" s="229">
        <f t="shared" si="11"/>
        <v>412</v>
      </c>
    </row>
    <row r="57" spans="1:14" x14ac:dyDescent="0.25">
      <c r="A57" s="33" t="s">
        <v>134</v>
      </c>
      <c r="B57" s="33" t="s">
        <v>603</v>
      </c>
      <c r="C57" s="91">
        <v>1055.49</v>
      </c>
      <c r="D57" s="90">
        <v>700</v>
      </c>
      <c r="E57" s="46">
        <v>0</v>
      </c>
      <c r="F57" s="90">
        <v>700</v>
      </c>
      <c r="G57" s="46">
        <v>208.26</v>
      </c>
      <c r="H57" s="90">
        <v>700</v>
      </c>
      <c r="I57" s="47">
        <v>28.64</v>
      </c>
      <c r="J57" s="90">
        <v>700</v>
      </c>
      <c r="K57" s="199">
        <v>9</v>
      </c>
      <c r="L57" s="222">
        <v>700</v>
      </c>
      <c r="M57" s="222">
        <v>9</v>
      </c>
      <c r="N57" s="229">
        <f t="shared" si="11"/>
        <v>721</v>
      </c>
    </row>
    <row r="58" spans="1:14" x14ac:dyDescent="0.25">
      <c r="A58" s="33" t="s">
        <v>135</v>
      </c>
      <c r="B58" s="33" t="s">
        <v>604</v>
      </c>
      <c r="C58" s="91">
        <v>3125.06</v>
      </c>
      <c r="D58" s="90">
        <v>2200</v>
      </c>
      <c r="E58" s="46">
        <v>0</v>
      </c>
      <c r="F58" s="90">
        <v>2000</v>
      </c>
      <c r="G58" s="46">
        <v>1339.56</v>
      </c>
      <c r="H58" s="90">
        <v>2000</v>
      </c>
      <c r="I58" s="47">
        <v>519.36</v>
      </c>
      <c r="J58" s="90">
        <v>2000</v>
      </c>
      <c r="K58" s="199">
        <v>1295</v>
      </c>
      <c r="L58" s="222">
        <v>2000</v>
      </c>
      <c r="M58" s="222">
        <v>1334</v>
      </c>
      <c r="N58" s="229">
        <f t="shared" si="11"/>
        <v>2060</v>
      </c>
    </row>
    <row r="59" spans="1:14" x14ac:dyDescent="0.25">
      <c r="A59" s="33" t="s">
        <v>136</v>
      </c>
      <c r="B59" s="33" t="s">
        <v>605</v>
      </c>
      <c r="C59" s="91">
        <v>5873.87</v>
      </c>
      <c r="D59" s="90">
        <v>4800</v>
      </c>
      <c r="E59" s="46">
        <v>0</v>
      </c>
      <c r="F59" s="90">
        <v>4000</v>
      </c>
      <c r="G59" s="46">
        <v>3153.82</v>
      </c>
      <c r="H59" s="90">
        <v>3000</v>
      </c>
      <c r="I59" s="47">
        <v>1114.53</v>
      </c>
      <c r="J59" s="90">
        <v>4000</v>
      </c>
      <c r="K59" s="199">
        <v>1589</v>
      </c>
      <c r="L59" s="222">
        <v>4000</v>
      </c>
      <c r="M59" s="222">
        <v>1637</v>
      </c>
      <c r="N59" s="229">
        <f t="shared" si="11"/>
        <v>4120</v>
      </c>
    </row>
    <row r="60" spans="1:14" x14ac:dyDescent="0.25">
      <c r="A60" s="33" t="s">
        <v>137</v>
      </c>
      <c r="B60" s="33" t="s">
        <v>606</v>
      </c>
      <c r="C60" s="91">
        <v>571.08000000000004</v>
      </c>
      <c r="D60" s="90">
        <v>400</v>
      </c>
      <c r="E60" s="46">
        <v>0</v>
      </c>
      <c r="F60" s="90">
        <v>600</v>
      </c>
      <c r="G60" s="46">
        <v>304.35000000000002</v>
      </c>
      <c r="H60" s="90">
        <v>600</v>
      </c>
      <c r="I60" s="47">
        <v>25</v>
      </c>
      <c r="J60" s="90">
        <v>600</v>
      </c>
      <c r="K60" s="199">
        <v>25</v>
      </c>
      <c r="L60" s="222">
        <v>600</v>
      </c>
      <c r="M60" s="222">
        <v>26</v>
      </c>
      <c r="N60" s="229">
        <f t="shared" si="11"/>
        <v>618</v>
      </c>
    </row>
    <row r="61" spans="1:14" x14ac:dyDescent="0.25">
      <c r="A61" s="33" t="s">
        <v>138</v>
      </c>
      <c r="B61" s="33" t="s">
        <v>607</v>
      </c>
      <c r="C61" s="91">
        <v>4695.07</v>
      </c>
      <c r="D61" s="90">
        <v>3000</v>
      </c>
      <c r="E61" s="46">
        <v>3412.58</v>
      </c>
      <c r="F61" s="90">
        <v>3000</v>
      </c>
      <c r="G61" s="46">
        <v>924.93</v>
      </c>
      <c r="H61" s="90">
        <v>3000</v>
      </c>
      <c r="I61" s="47">
        <v>129.94</v>
      </c>
      <c r="J61" s="90">
        <v>3000</v>
      </c>
      <c r="K61" s="199">
        <v>40</v>
      </c>
      <c r="L61" s="222">
        <v>3000</v>
      </c>
      <c r="M61" s="222">
        <v>41</v>
      </c>
      <c r="N61" s="229">
        <f t="shared" si="11"/>
        <v>3090</v>
      </c>
    </row>
    <row r="62" spans="1:14" x14ac:dyDescent="0.25">
      <c r="A62" s="33" t="s">
        <v>139</v>
      </c>
      <c r="B62" s="33" t="s">
        <v>608</v>
      </c>
      <c r="C62" s="91">
        <v>3509.31</v>
      </c>
      <c r="D62" s="90">
        <v>200</v>
      </c>
      <c r="E62" s="46">
        <v>2582.6999999999998</v>
      </c>
      <c r="F62" s="90">
        <v>2000</v>
      </c>
      <c r="G62" s="46">
        <v>236.39</v>
      </c>
      <c r="H62" s="90">
        <v>500</v>
      </c>
      <c r="I62" s="47">
        <v>172.3</v>
      </c>
      <c r="J62" s="90">
        <v>1000</v>
      </c>
      <c r="K62" s="199">
        <v>82</v>
      </c>
      <c r="L62" s="222">
        <v>1000</v>
      </c>
      <c r="M62" s="222">
        <v>84</v>
      </c>
      <c r="N62" s="229">
        <f t="shared" si="11"/>
        <v>1030</v>
      </c>
    </row>
    <row r="63" spans="1:14" x14ac:dyDescent="0.25">
      <c r="A63" s="33" t="s">
        <v>142</v>
      </c>
      <c r="B63" s="33" t="s">
        <v>143</v>
      </c>
      <c r="C63" s="91">
        <v>180.09</v>
      </c>
      <c r="D63" s="90">
        <v>0</v>
      </c>
      <c r="E63" s="64">
        <v>0</v>
      </c>
      <c r="F63" s="90">
        <v>0</v>
      </c>
      <c r="G63" s="64">
        <v>43.8</v>
      </c>
      <c r="H63" s="90">
        <v>0</v>
      </c>
      <c r="I63" s="65">
        <v>0</v>
      </c>
      <c r="J63" s="90">
        <v>0</v>
      </c>
      <c r="K63" s="199">
        <v>186</v>
      </c>
      <c r="L63" s="222">
        <v>0</v>
      </c>
      <c r="M63" s="222">
        <v>192</v>
      </c>
      <c r="N63" s="229">
        <f t="shared" si="11"/>
        <v>0</v>
      </c>
    </row>
    <row r="64" spans="1:14" x14ac:dyDescent="0.25">
      <c r="A64" s="33" t="s">
        <v>144</v>
      </c>
      <c r="B64" s="33" t="s">
        <v>145</v>
      </c>
      <c r="C64" s="91">
        <v>0</v>
      </c>
      <c r="D64" s="90">
        <v>900</v>
      </c>
      <c r="E64" s="64">
        <v>0</v>
      </c>
      <c r="F64" s="90">
        <v>900</v>
      </c>
      <c r="G64" s="64">
        <v>0</v>
      </c>
      <c r="H64" s="90">
        <v>900</v>
      </c>
      <c r="I64" s="65">
        <v>0</v>
      </c>
      <c r="J64" s="90">
        <v>900</v>
      </c>
      <c r="K64" s="199">
        <v>5530</v>
      </c>
      <c r="L64" s="222">
        <v>900</v>
      </c>
      <c r="M64" s="222">
        <v>5530</v>
      </c>
      <c r="N64" s="229">
        <f t="shared" si="11"/>
        <v>927</v>
      </c>
    </row>
    <row r="65" spans="1:14" ht="16.5" thickBot="1" x14ac:dyDescent="0.3">
      <c r="A65" s="33" t="s">
        <v>162</v>
      </c>
      <c r="B65" s="33" t="s">
        <v>163</v>
      </c>
      <c r="C65" s="94">
        <v>0</v>
      </c>
      <c r="D65" s="90">
        <v>0</v>
      </c>
      <c r="E65" s="64"/>
      <c r="F65" s="90">
        <v>0</v>
      </c>
      <c r="G65" s="64"/>
      <c r="H65" s="90">
        <v>0</v>
      </c>
      <c r="I65" s="65"/>
      <c r="J65" s="90">
        <v>0</v>
      </c>
      <c r="K65" s="199">
        <v>0</v>
      </c>
      <c r="L65" s="222">
        <f>K65+(K65*'REVEN&amp;EXP - ALL FUNDS'!$E$5)</f>
        <v>0</v>
      </c>
      <c r="M65" s="222">
        <v>0</v>
      </c>
      <c r="N65" s="229">
        <f t="shared" si="11"/>
        <v>0</v>
      </c>
    </row>
    <row r="66" spans="1:14" x14ac:dyDescent="0.25">
      <c r="A66" s="33" t="s">
        <v>164</v>
      </c>
      <c r="B66" s="33" t="s">
        <v>609</v>
      </c>
      <c r="C66" s="91"/>
      <c r="D66" s="90">
        <v>0</v>
      </c>
      <c r="E66" s="64">
        <v>0</v>
      </c>
      <c r="F66" s="90">
        <v>0</v>
      </c>
      <c r="G66" s="64">
        <v>5592</v>
      </c>
      <c r="H66" s="90">
        <v>3600</v>
      </c>
      <c r="I66" s="65">
        <v>2665.85</v>
      </c>
      <c r="J66" s="90">
        <v>3600</v>
      </c>
      <c r="K66" s="199">
        <v>3600</v>
      </c>
      <c r="L66" s="222">
        <v>3600</v>
      </c>
      <c r="M66" s="222">
        <v>3708</v>
      </c>
      <c r="N66" s="229">
        <f t="shared" si="11"/>
        <v>3708</v>
      </c>
    </row>
    <row r="67" spans="1:14" x14ac:dyDescent="0.25">
      <c r="A67" s="33" t="s">
        <v>165</v>
      </c>
      <c r="B67" s="33" t="s">
        <v>166</v>
      </c>
      <c r="C67" s="91"/>
      <c r="D67" s="90">
        <v>0</v>
      </c>
      <c r="E67" s="64">
        <v>0</v>
      </c>
      <c r="F67" s="90">
        <v>0</v>
      </c>
      <c r="G67" s="64">
        <v>4453.25</v>
      </c>
      <c r="H67" s="90">
        <v>4000</v>
      </c>
      <c r="I67" s="65">
        <v>0</v>
      </c>
      <c r="J67" s="90">
        <v>4000</v>
      </c>
      <c r="K67" s="199">
        <v>4000</v>
      </c>
      <c r="L67" s="222">
        <v>4000</v>
      </c>
      <c r="M67" s="222">
        <v>4120</v>
      </c>
      <c r="N67" s="229">
        <f t="shared" si="11"/>
        <v>4120</v>
      </c>
    </row>
    <row r="68" spans="1:14" x14ac:dyDescent="0.25">
      <c r="A68" s="33" t="s">
        <v>167</v>
      </c>
      <c r="B68" s="33" t="s">
        <v>610</v>
      </c>
      <c r="C68" s="91"/>
      <c r="D68" s="90">
        <v>0</v>
      </c>
      <c r="E68" s="64">
        <v>0</v>
      </c>
      <c r="F68" s="90">
        <v>0</v>
      </c>
      <c r="G68" s="64">
        <v>696.88</v>
      </c>
      <c r="H68" s="90">
        <v>500</v>
      </c>
      <c r="I68" s="65">
        <v>82.46</v>
      </c>
      <c r="J68" s="90">
        <v>500</v>
      </c>
      <c r="K68" s="199">
        <v>30</v>
      </c>
      <c r="L68" s="222">
        <v>500</v>
      </c>
      <c r="M68" s="222">
        <v>31</v>
      </c>
      <c r="N68" s="229">
        <f t="shared" si="11"/>
        <v>515</v>
      </c>
    </row>
    <row r="69" spans="1:14" x14ac:dyDescent="0.25">
      <c r="A69" s="33" t="s">
        <v>168</v>
      </c>
      <c r="B69" s="33" t="s">
        <v>611</v>
      </c>
      <c r="C69" s="91"/>
      <c r="D69" s="90">
        <v>0</v>
      </c>
      <c r="E69" s="64">
        <v>0</v>
      </c>
      <c r="F69" s="90">
        <v>0</v>
      </c>
      <c r="G69" s="64">
        <v>9.89</v>
      </c>
      <c r="H69" s="90">
        <v>150</v>
      </c>
      <c r="I69" s="65">
        <v>24.76</v>
      </c>
      <c r="J69" s="90">
        <v>150</v>
      </c>
      <c r="K69" s="199">
        <v>0</v>
      </c>
      <c r="L69" s="222">
        <v>150</v>
      </c>
      <c r="M69" s="222">
        <v>0</v>
      </c>
      <c r="N69" s="229">
        <f t="shared" si="11"/>
        <v>154.5</v>
      </c>
    </row>
    <row r="70" spans="1:14" x14ac:dyDescent="0.25">
      <c r="A70" s="33" t="s">
        <v>169</v>
      </c>
      <c r="B70" s="33" t="s">
        <v>170</v>
      </c>
      <c r="C70" s="91"/>
      <c r="D70" s="90">
        <v>0</v>
      </c>
      <c r="E70" s="64">
        <v>0</v>
      </c>
      <c r="F70" s="90">
        <v>0</v>
      </c>
      <c r="G70" s="64">
        <v>372.65</v>
      </c>
      <c r="H70" s="90">
        <v>250</v>
      </c>
      <c r="I70" s="65">
        <v>80.209999999999994</v>
      </c>
      <c r="J70" s="90">
        <v>250</v>
      </c>
      <c r="K70" s="199">
        <v>26</v>
      </c>
      <c r="L70" s="222">
        <v>250</v>
      </c>
      <c r="M70" s="222">
        <v>26</v>
      </c>
      <c r="N70" s="229">
        <f t="shared" si="11"/>
        <v>257.5</v>
      </c>
    </row>
    <row r="71" spans="1:14" x14ac:dyDescent="0.25">
      <c r="A71" s="33" t="s">
        <v>171</v>
      </c>
      <c r="B71" s="33" t="s">
        <v>612</v>
      </c>
      <c r="C71" s="91"/>
      <c r="D71" s="90">
        <v>0</v>
      </c>
      <c r="E71" s="64">
        <v>0</v>
      </c>
      <c r="F71" s="90">
        <v>0</v>
      </c>
      <c r="G71" s="64">
        <v>294.32</v>
      </c>
      <c r="H71" s="90">
        <v>150</v>
      </c>
      <c r="I71" s="65">
        <v>51.78</v>
      </c>
      <c r="J71" s="90">
        <v>150</v>
      </c>
      <c r="K71" s="199">
        <v>70</v>
      </c>
      <c r="L71" s="222">
        <v>150</v>
      </c>
      <c r="M71" s="222">
        <v>72</v>
      </c>
      <c r="N71" s="229">
        <f t="shared" si="11"/>
        <v>154.5</v>
      </c>
    </row>
    <row r="72" spans="1:14" x14ac:dyDescent="0.25">
      <c r="A72" s="33" t="s">
        <v>172</v>
      </c>
      <c r="B72" s="33" t="s">
        <v>173</v>
      </c>
      <c r="C72" s="91"/>
      <c r="D72" s="90">
        <v>0</v>
      </c>
      <c r="E72" s="64">
        <v>0</v>
      </c>
      <c r="F72" s="90">
        <v>0</v>
      </c>
      <c r="G72" s="64">
        <v>12</v>
      </c>
      <c r="H72" s="90">
        <v>20</v>
      </c>
      <c r="I72" s="65">
        <v>25</v>
      </c>
      <c r="J72" s="90">
        <v>20</v>
      </c>
      <c r="K72" s="199">
        <v>0</v>
      </c>
      <c r="L72" s="222">
        <v>20</v>
      </c>
      <c r="M72" s="222">
        <v>0</v>
      </c>
      <c r="N72" s="229">
        <f t="shared" si="11"/>
        <v>20.6</v>
      </c>
    </row>
    <row r="73" spans="1:14" x14ac:dyDescent="0.25">
      <c r="A73" s="33" t="s">
        <v>174</v>
      </c>
      <c r="B73" s="33" t="s">
        <v>613</v>
      </c>
      <c r="C73" s="91"/>
      <c r="D73" s="90"/>
      <c r="E73" s="64"/>
      <c r="F73" s="90">
        <v>0</v>
      </c>
      <c r="G73" s="64">
        <v>15864</v>
      </c>
      <c r="H73" s="90"/>
      <c r="I73" s="65">
        <v>7683.52</v>
      </c>
      <c r="J73" s="90">
        <v>10000</v>
      </c>
      <c r="K73" s="199">
        <v>7435</v>
      </c>
      <c r="L73" s="222">
        <v>10000</v>
      </c>
      <c r="M73" s="222">
        <v>7658</v>
      </c>
      <c r="N73" s="229">
        <f t="shared" si="11"/>
        <v>10300</v>
      </c>
    </row>
    <row r="74" spans="1:14" x14ac:dyDescent="0.25">
      <c r="A74" s="33" t="s">
        <v>571</v>
      </c>
      <c r="B74" s="33" t="s">
        <v>614</v>
      </c>
      <c r="C74" s="91"/>
      <c r="D74" s="90"/>
      <c r="E74" s="64"/>
      <c r="F74" s="90">
        <v>0</v>
      </c>
      <c r="G74" s="64">
        <v>5528</v>
      </c>
      <c r="H74" s="90"/>
      <c r="I74" s="65">
        <v>2271.34</v>
      </c>
      <c r="J74" s="90">
        <v>3000</v>
      </c>
      <c r="K74" s="199">
        <v>742</v>
      </c>
      <c r="L74" s="222">
        <v>3000</v>
      </c>
      <c r="M74" s="222">
        <v>764</v>
      </c>
      <c r="N74" s="229">
        <f t="shared" si="11"/>
        <v>3090</v>
      </c>
    </row>
    <row r="75" spans="1:14" x14ac:dyDescent="0.25">
      <c r="A75" s="33" t="s">
        <v>572</v>
      </c>
      <c r="B75" s="33" t="s">
        <v>615</v>
      </c>
      <c r="C75" s="91"/>
      <c r="D75" s="90"/>
      <c r="E75" s="64"/>
      <c r="F75" s="90">
        <v>0</v>
      </c>
      <c r="G75" s="64">
        <v>100</v>
      </c>
      <c r="H75" s="90"/>
      <c r="I75" s="65">
        <v>340</v>
      </c>
      <c r="J75" s="90">
        <v>500</v>
      </c>
      <c r="K75" s="199">
        <v>310</v>
      </c>
      <c r="L75" s="222">
        <v>500</v>
      </c>
      <c r="M75" s="222">
        <v>319</v>
      </c>
      <c r="N75" s="229">
        <f t="shared" si="11"/>
        <v>515</v>
      </c>
    </row>
    <row r="76" spans="1:14" ht="16.5" thickBot="1" x14ac:dyDescent="0.3">
      <c r="A76" s="33" t="s">
        <v>573</v>
      </c>
      <c r="B76" s="33" t="s">
        <v>616</v>
      </c>
      <c r="C76" s="91"/>
      <c r="D76" s="123">
        <v>0</v>
      </c>
      <c r="E76" s="51">
        <v>0</v>
      </c>
      <c r="F76" s="90">
        <v>0</v>
      </c>
      <c r="G76" s="64">
        <v>978</v>
      </c>
      <c r="H76" s="90">
        <v>12000</v>
      </c>
      <c r="I76" s="65">
        <v>349.39</v>
      </c>
      <c r="J76" s="90">
        <v>1000</v>
      </c>
      <c r="K76" s="199">
        <v>528</v>
      </c>
      <c r="L76" s="222">
        <v>1000</v>
      </c>
      <c r="M76" s="222">
        <v>544</v>
      </c>
      <c r="N76" s="229">
        <f t="shared" si="11"/>
        <v>1030</v>
      </c>
    </row>
    <row r="77" spans="1:14" x14ac:dyDescent="0.25">
      <c r="A77" s="33" t="s">
        <v>592</v>
      </c>
      <c r="B77" s="33" t="s">
        <v>593</v>
      </c>
      <c r="C77" s="91"/>
      <c r="D77" s="90"/>
      <c r="E77" s="64"/>
      <c r="F77" s="90">
        <v>0</v>
      </c>
      <c r="G77" s="64">
        <v>0</v>
      </c>
      <c r="H77" s="90">
        <v>0</v>
      </c>
      <c r="I77" s="65">
        <v>3</v>
      </c>
      <c r="J77" s="90">
        <v>25</v>
      </c>
      <c r="K77" s="199">
        <v>0</v>
      </c>
      <c r="L77" s="222">
        <v>25</v>
      </c>
      <c r="M77" s="222">
        <v>0</v>
      </c>
      <c r="N77" s="229">
        <f t="shared" si="11"/>
        <v>25.75</v>
      </c>
    </row>
    <row r="78" spans="1:14" ht="16.5" thickBot="1" x14ac:dyDescent="0.3">
      <c r="A78" s="33" t="s">
        <v>594</v>
      </c>
      <c r="B78" s="33" t="s">
        <v>595</v>
      </c>
      <c r="C78" s="91"/>
      <c r="D78" s="90"/>
      <c r="E78" s="64"/>
      <c r="F78" s="123">
        <v>0</v>
      </c>
      <c r="G78" s="51">
        <v>0</v>
      </c>
      <c r="H78" s="123">
        <v>0</v>
      </c>
      <c r="I78" s="52">
        <v>9.9</v>
      </c>
      <c r="J78" s="123">
        <v>25</v>
      </c>
      <c r="K78" s="200">
        <v>0</v>
      </c>
      <c r="L78" s="223">
        <v>25</v>
      </c>
      <c r="M78" s="223">
        <v>0</v>
      </c>
      <c r="N78" s="230">
        <f t="shared" si="11"/>
        <v>25.75</v>
      </c>
    </row>
    <row r="79" spans="1:14" x14ac:dyDescent="0.25">
      <c r="A79" s="277" t="s">
        <v>587</v>
      </c>
      <c r="B79" s="277"/>
      <c r="C79" s="91">
        <f>SUM(C47:C65)</f>
        <v>128677.66</v>
      </c>
      <c r="D79" s="91">
        <f t="shared" ref="D79:E79" si="12">SUM(D47:D76)</f>
        <v>95600</v>
      </c>
      <c r="E79" s="124">
        <f t="shared" si="12"/>
        <v>111029.24</v>
      </c>
      <c r="F79" s="91">
        <v>96800</v>
      </c>
      <c r="G79" s="124">
        <v>81181.83</v>
      </c>
      <c r="H79" s="91">
        <v>87670</v>
      </c>
      <c r="I79" s="125">
        <f t="shared" ref="I79:N79" si="13">SUM(I47:I78)</f>
        <v>33549.359999999993</v>
      </c>
      <c r="J79" s="91">
        <f t="shared" si="13"/>
        <v>95020</v>
      </c>
      <c r="K79" s="201">
        <f t="shared" si="13"/>
        <v>59653</v>
      </c>
      <c r="L79" s="225">
        <f t="shared" si="13"/>
        <v>95020</v>
      </c>
      <c r="M79" s="225">
        <f t="shared" si="13"/>
        <v>61276</v>
      </c>
      <c r="N79" s="231">
        <f t="shared" si="13"/>
        <v>97870.6</v>
      </c>
    </row>
    <row r="80" spans="1:14" x14ac:dyDescent="0.25">
      <c r="A80" s="53"/>
      <c r="B80" s="53"/>
      <c r="C80" s="91"/>
      <c r="D80" s="90"/>
      <c r="E80" s="46"/>
      <c r="F80" s="90"/>
      <c r="G80" s="46"/>
      <c r="H80" s="90"/>
      <c r="I80" s="47"/>
      <c r="J80" s="90"/>
      <c r="K80" s="199"/>
      <c r="M80" s="33"/>
      <c r="N80" s="232"/>
    </row>
    <row r="81" spans="1:14" x14ac:dyDescent="0.25">
      <c r="A81" s="89" t="s">
        <v>586</v>
      </c>
      <c r="B81" s="33"/>
      <c r="C81" s="33"/>
      <c r="D81" s="90"/>
      <c r="E81" s="46"/>
      <c r="F81" s="90"/>
      <c r="G81" s="46"/>
      <c r="H81" s="90"/>
      <c r="I81" s="47"/>
      <c r="J81" s="90"/>
      <c r="K81" s="199"/>
      <c r="M81" s="33"/>
      <c r="N81" s="232"/>
    </row>
    <row r="82" spans="1:14" x14ac:dyDescent="0.25">
      <c r="A82" s="33" t="s">
        <v>140</v>
      </c>
      <c r="B82" s="33" t="s">
        <v>141</v>
      </c>
      <c r="C82" s="91">
        <v>3497.56</v>
      </c>
      <c r="D82" s="90">
        <v>0</v>
      </c>
      <c r="E82" s="46">
        <v>1713.9</v>
      </c>
      <c r="F82" s="90">
        <v>6000</v>
      </c>
      <c r="G82" s="46">
        <v>2530.02</v>
      </c>
      <c r="H82" s="90">
        <v>4000</v>
      </c>
      <c r="I82" s="47">
        <v>1095.55</v>
      </c>
      <c r="J82" s="90">
        <v>2500</v>
      </c>
      <c r="K82" s="199">
        <v>776</v>
      </c>
      <c r="L82" s="222">
        <v>2500</v>
      </c>
      <c r="M82" s="222">
        <v>799</v>
      </c>
      <c r="N82" s="229">
        <f t="shared" ref="N82:N90" si="14">(L82*3%)+L82</f>
        <v>2575</v>
      </c>
    </row>
    <row r="83" spans="1:14" x14ac:dyDescent="0.25">
      <c r="A83" s="33" t="s">
        <v>146</v>
      </c>
      <c r="B83" s="33" t="s">
        <v>147</v>
      </c>
      <c r="C83" s="91">
        <v>25365</v>
      </c>
      <c r="D83" s="90">
        <v>0</v>
      </c>
      <c r="E83" s="64">
        <v>10581.43</v>
      </c>
      <c r="F83" s="90">
        <v>10000</v>
      </c>
      <c r="G83" s="64">
        <v>864.97</v>
      </c>
      <c r="H83" s="90">
        <v>2300</v>
      </c>
      <c r="I83" s="65">
        <v>0</v>
      </c>
      <c r="J83" s="90">
        <v>2300</v>
      </c>
      <c r="K83" s="199">
        <v>0</v>
      </c>
      <c r="L83" s="222">
        <v>2300</v>
      </c>
      <c r="M83" s="222">
        <v>0</v>
      </c>
      <c r="N83" s="229">
        <f t="shared" si="14"/>
        <v>2369</v>
      </c>
    </row>
    <row r="84" spans="1:14" x14ac:dyDescent="0.25">
      <c r="A84" s="33" t="s">
        <v>148</v>
      </c>
      <c r="B84" s="33" t="s">
        <v>149</v>
      </c>
      <c r="C84" s="91">
        <v>600</v>
      </c>
      <c r="D84" s="90">
        <v>1000</v>
      </c>
      <c r="E84" s="46">
        <v>150</v>
      </c>
      <c r="F84" s="90">
        <v>200</v>
      </c>
      <c r="G84" s="46">
        <v>0</v>
      </c>
      <c r="H84" s="90">
        <v>284</v>
      </c>
      <c r="I84" s="47">
        <v>0</v>
      </c>
      <c r="J84" s="90">
        <v>200</v>
      </c>
      <c r="K84" s="199">
        <v>0</v>
      </c>
      <c r="L84" s="222">
        <v>200</v>
      </c>
      <c r="M84" s="222">
        <v>0</v>
      </c>
      <c r="N84" s="229">
        <f t="shared" si="14"/>
        <v>206</v>
      </c>
    </row>
    <row r="85" spans="1:14" x14ac:dyDescent="0.25">
      <c r="A85" s="33" t="s">
        <v>150</v>
      </c>
      <c r="B85" s="33" t="s">
        <v>151</v>
      </c>
      <c r="C85" s="91">
        <v>0</v>
      </c>
      <c r="D85" s="90">
        <v>0</v>
      </c>
      <c r="E85" s="46">
        <v>0</v>
      </c>
      <c r="F85" s="90">
        <v>1200</v>
      </c>
      <c r="G85" s="46">
        <v>0</v>
      </c>
      <c r="H85" s="90">
        <v>1200</v>
      </c>
      <c r="I85" s="47">
        <v>0</v>
      </c>
      <c r="J85" s="90">
        <v>1200</v>
      </c>
      <c r="K85" s="199">
        <v>1200</v>
      </c>
      <c r="L85" s="222">
        <v>0</v>
      </c>
      <c r="M85" s="222">
        <v>0</v>
      </c>
      <c r="N85" s="229">
        <f t="shared" si="14"/>
        <v>0</v>
      </c>
    </row>
    <row r="86" spans="1:14" x14ac:dyDescent="0.25">
      <c r="A86" s="33" t="s">
        <v>152</v>
      </c>
      <c r="B86" s="33" t="s">
        <v>153</v>
      </c>
      <c r="C86" s="91">
        <v>0</v>
      </c>
      <c r="D86" s="90">
        <v>0</v>
      </c>
      <c r="E86" s="46">
        <v>0</v>
      </c>
      <c r="F86" s="90">
        <v>100</v>
      </c>
      <c r="G86" s="46">
        <v>0</v>
      </c>
      <c r="H86" s="90">
        <v>100</v>
      </c>
      <c r="I86" s="47">
        <v>0</v>
      </c>
      <c r="J86" s="90">
        <v>100</v>
      </c>
      <c r="K86" s="199">
        <v>0</v>
      </c>
      <c r="L86" s="222">
        <v>100</v>
      </c>
      <c r="M86" s="222">
        <v>0</v>
      </c>
      <c r="N86" s="229">
        <f t="shared" si="14"/>
        <v>103</v>
      </c>
    </row>
    <row r="87" spans="1:14" x14ac:dyDescent="0.25">
      <c r="A87" s="33" t="s">
        <v>154</v>
      </c>
      <c r="B87" s="33" t="s">
        <v>155</v>
      </c>
      <c r="C87" s="91">
        <v>122</v>
      </c>
      <c r="D87" s="90">
        <v>120</v>
      </c>
      <c r="E87" s="46">
        <v>101</v>
      </c>
      <c r="F87" s="90">
        <v>120</v>
      </c>
      <c r="G87" s="46">
        <v>25</v>
      </c>
      <c r="H87" s="90">
        <v>120</v>
      </c>
      <c r="I87" s="47">
        <v>45</v>
      </c>
      <c r="J87" s="90">
        <v>120</v>
      </c>
      <c r="K87" s="199">
        <v>40</v>
      </c>
      <c r="L87" s="222">
        <v>120</v>
      </c>
      <c r="M87" s="222">
        <v>41</v>
      </c>
      <c r="N87" s="229">
        <f t="shared" si="14"/>
        <v>123.6</v>
      </c>
    </row>
    <row r="88" spans="1:14" x14ac:dyDescent="0.25">
      <c r="A88" s="33" t="s">
        <v>156</v>
      </c>
      <c r="B88" s="33" t="s">
        <v>157</v>
      </c>
      <c r="C88" s="91">
        <v>23</v>
      </c>
      <c r="D88" s="90">
        <v>24</v>
      </c>
      <c r="E88" s="46">
        <v>23.3</v>
      </c>
      <c r="F88" s="90">
        <v>25</v>
      </c>
      <c r="G88" s="46">
        <v>4</v>
      </c>
      <c r="H88" s="90">
        <v>25</v>
      </c>
      <c r="I88" s="47">
        <v>0</v>
      </c>
      <c r="J88" s="90">
        <v>25</v>
      </c>
      <c r="K88" s="199">
        <v>0</v>
      </c>
      <c r="L88" s="222">
        <v>25</v>
      </c>
      <c r="M88" s="222">
        <v>0</v>
      </c>
      <c r="N88" s="229">
        <f t="shared" si="14"/>
        <v>25.75</v>
      </c>
    </row>
    <row r="89" spans="1:14" x14ac:dyDescent="0.25">
      <c r="A89" s="33" t="s">
        <v>158</v>
      </c>
      <c r="B89" s="33" t="s">
        <v>159</v>
      </c>
      <c r="C89" s="91">
        <v>177.57</v>
      </c>
      <c r="D89" s="90">
        <v>12</v>
      </c>
      <c r="E89" s="131">
        <v>0.4</v>
      </c>
      <c r="F89" s="90">
        <v>100</v>
      </c>
      <c r="G89" s="131">
        <v>18</v>
      </c>
      <c r="H89" s="90">
        <v>100</v>
      </c>
      <c r="I89" s="47">
        <v>15.2</v>
      </c>
      <c r="J89" s="90">
        <v>100</v>
      </c>
      <c r="K89" s="199">
        <v>0</v>
      </c>
      <c r="L89" s="222">
        <v>100</v>
      </c>
      <c r="M89" s="222">
        <v>0</v>
      </c>
      <c r="N89" s="229">
        <f t="shared" si="14"/>
        <v>103</v>
      </c>
    </row>
    <row r="90" spans="1:14" ht="16.5" thickBot="1" x14ac:dyDescent="0.3">
      <c r="A90" s="33" t="s">
        <v>160</v>
      </c>
      <c r="B90" s="33" t="s">
        <v>161</v>
      </c>
      <c r="C90" s="91">
        <v>0</v>
      </c>
      <c r="D90" s="90">
        <v>120</v>
      </c>
      <c r="E90" s="46">
        <v>90</v>
      </c>
      <c r="F90" s="123">
        <v>75</v>
      </c>
      <c r="G90" s="51">
        <v>36</v>
      </c>
      <c r="H90" s="123">
        <v>75</v>
      </c>
      <c r="I90" s="52">
        <v>30</v>
      </c>
      <c r="J90" s="123">
        <v>75</v>
      </c>
      <c r="K90" s="200">
        <v>35</v>
      </c>
      <c r="L90" s="223">
        <v>75</v>
      </c>
      <c r="M90" s="223">
        <v>36</v>
      </c>
      <c r="N90" s="230">
        <f t="shared" si="14"/>
        <v>77.25</v>
      </c>
    </row>
    <row r="91" spans="1:14" x14ac:dyDescent="0.25">
      <c r="A91" s="277" t="s">
        <v>588</v>
      </c>
      <c r="B91" s="277"/>
      <c r="C91" s="91">
        <f>SUM(C56:C74)</f>
        <v>19479.48</v>
      </c>
      <c r="D91" s="91">
        <f>SUM(D56:D90)</f>
        <v>109476</v>
      </c>
      <c r="E91" s="124">
        <f>SUM(E56:E90)</f>
        <v>131531.07999999999</v>
      </c>
      <c r="F91" s="91">
        <v>17820</v>
      </c>
      <c r="G91" s="124">
        <v>3477.99</v>
      </c>
      <c r="H91" s="91">
        <v>8204</v>
      </c>
      <c r="I91" s="125">
        <f t="shared" ref="I91:N91" si="15">SUM(I82:I90)</f>
        <v>1185.75</v>
      </c>
      <c r="J91" s="91">
        <f t="shared" si="15"/>
        <v>6620</v>
      </c>
      <c r="K91" s="201">
        <f t="shared" si="15"/>
        <v>2051</v>
      </c>
      <c r="L91" s="225">
        <f t="shared" si="15"/>
        <v>5420</v>
      </c>
      <c r="M91" s="225">
        <f t="shared" si="15"/>
        <v>876</v>
      </c>
      <c r="N91" s="231">
        <f t="shared" si="15"/>
        <v>5582.6</v>
      </c>
    </row>
    <row r="92" spans="1:14" x14ac:dyDescent="0.25">
      <c r="A92" s="53"/>
      <c r="B92" s="53"/>
      <c r="C92" s="91"/>
      <c r="D92" s="90"/>
      <c r="E92" s="46"/>
      <c r="F92" s="90"/>
      <c r="G92" s="46"/>
      <c r="H92" s="90"/>
      <c r="I92" s="47"/>
      <c r="J92" s="90"/>
      <c r="K92" s="199"/>
      <c r="L92" s="33"/>
      <c r="M92" s="33"/>
      <c r="N92" s="232"/>
    </row>
    <row r="93" spans="1:14" x14ac:dyDescent="0.25">
      <c r="A93" s="132" t="s">
        <v>41</v>
      </c>
      <c r="B93" s="53"/>
      <c r="C93" s="91"/>
      <c r="D93" s="90"/>
      <c r="E93" s="46"/>
      <c r="F93" s="90"/>
      <c r="G93" s="46"/>
      <c r="H93" s="90"/>
      <c r="I93" s="47"/>
      <c r="J93" s="90"/>
      <c r="K93" s="199"/>
      <c r="L93" s="33"/>
      <c r="M93" s="33"/>
      <c r="N93" s="232"/>
    </row>
    <row r="94" spans="1:14" x14ac:dyDescent="0.25">
      <c r="A94" s="226"/>
      <c r="B94" s="43" t="s">
        <v>680</v>
      </c>
      <c r="C94" s="91"/>
      <c r="D94" s="90"/>
      <c r="E94" s="46"/>
      <c r="F94" s="90"/>
      <c r="G94" s="46"/>
      <c r="H94" s="90"/>
      <c r="I94" s="47"/>
      <c r="J94" s="90"/>
      <c r="K94" s="199"/>
      <c r="L94" s="222">
        <v>52648</v>
      </c>
      <c r="M94" s="222">
        <v>0</v>
      </c>
      <c r="N94" s="229">
        <f t="shared" ref="N94:N95" si="16">(L94*3%)+L94</f>
        <v>54227.44</v>
      </c>
    </row>
    <row r="95" spans="1:14" ht="16.5" thickBot="1" x14ac:dyDescent="0.3">
      <c r="A95" s="33" t="s">
        <v>175</v>
      </c>
      <c r="B95" s="33" t="s">
        <v>704</v>
      </c>
      <c r="C95" s="94">
        <v>70042.77</v>
      </c>
      <c r="D95" s="123">
        <v>44582</v>
      </c>
      <c r="E95" s="51">
        <v>29012.01</v>
      </c>
      <c r="F95" s="123">
        <v>50937</v>
      </c>
      <c r="G95" s="51">
        <v>38202.559999999998</v>
      </c>
      <c r="H95" s="123">
        <v>52947</v>
      </c>
      <c r="I95" s="52">
        <v>51736.56</v>
      </c>
      <c r="J95" s="123">
        <v>56160</v>
      </c>
      <c r="K95" s="200">
        <v>56160</v>
      </c>
      <c r="L95" s="223">
        <v>70457</v>
      </c>
      <c r="M95" s="223">
        <v>0</v>
      </c>
      <c r="N95" s="230">
        <f t="shared" si="16"/>
        <v>72570.710000000006</v>
      </c>
    </row>
    <row r="96" spans="1:14" x14ac:dyDescent="0.25">
      <c r="A96" s="277" t="s">
        <v>176</v>
      </c>
      <c r="B96" s="277"/>
      <c r="C96" s="91">
        <f>SUM(C94:C95)</f>
        <v>70042.77</v>
      </c>
      <c r="D96" s="91">
        <f t="shared" ref="D96" si="17">SUM(D94:D95)</f>
        <v>44582</v>
      </c>
      <c r="E96" s="124">
        <f>+E95</f>
        <v>29012.01</v>
      </c>
      <c r="F96" s="91">
        <v>50937</v>
      </c>
      <c r="G96" s="124">
        <v>38202.559999999998</v>
      </c>
      <c r="H96" s="91">
        <v>52947</v>
      </c>
      <c r="I96" s="125">
        <f>+I95</f>
        <v>51736.56</v>
      </c>
      <c r="J96" s="91">
        <f t="shared" ref="J96:L96" si="18">SUM(J94:J95)</f>
        <v>56160</v>
      </c>
      <c r="K96" s="201">
        <f t="shared" si="18"/>
        <v>56160</v>
      </c>
      <c r="L96" s="225">
        <f t="shared" si="18"/>
        <v>123105</v>
      </c>
      <c r="M96" s="225">
        <f>SUM(M94:M95)</f>
        <v>0</v>
      </c>
      <c r="N96" s="231">
        <f>SUM(N94:N95)</f>
        <v>126798.15000000001</v>
      </c>
    </row>
    <row r="97" spans="1:14" x14ac:dyDescent="0.25">
      <c r="A97" s="33"/>
      <c r="B97" s="33"/>
      <c r="C97" s="91"/>
      <c r="D97" s="90"/>
      <c r="E97" s="46"/>
      <c r="F97" s="90"/>
      <c r="G97" s="46"/>
      <c r="H97" s="90"/>
      <c r="I97" s="47"/>
      <c r="J97" s="90"/>
      <c r="K97" s="199"/>
      <c r="L97" s="33"/>
      <c r="M97" s="33"/>
      <c r="N97" s="232"/>
    </row>
    <row r="98" spans="1:14" x14ac:dyDescent="0.25">
      <c r="A98" s="89" t="s">
        <v>177</v>
      </c>
      <c r="B98" s="33"/>
      <c r="C98" s="91"/>
      <c r="D98" s="90"/>
      <c r="E98" s="46"/>
      <c r="F98" s="90"/>
      <c r="G98" s="46"/>
      <c r="H98" s="90"/>
      <c r="I98" s="47"/>
      <c r="J98" s="90"/>
      <c r="K98" s="199"/>
      <c r="L98" s="33"/>
      <c r="M98" s="33"/>
      <c r="N98" s="232"/>
    </row>
    <row r="99" spans="1:14" x14ac:dyDescent="0.25">
      <c r="A99" s="33" t="s">
        <v>178</v>
      </c>
      <c r="B99" s="33" t="s">
        <v>179</v>
      </c>
      <c r="C99" s="91">
        <v>100000</v>
      </c>
      <c r="D99" s="90">
        <v>0</v>
      </c>
      <c r="E99" s="46"/>
      <c r="F99" s="90">
        <v>0</v>
      </c>
      <c r="G99" s="46"/>
      <c r="H99" s="90">
        <v>0</v>
      </c>
      <c r="I99" s="47"/>
      <c r="J99" s="90">
        <v>0</v>
      </c>
      <c r="K99" s="199">
        <v>0</v>
      </c>
      <c r="L99" s="222">
        <v>0</v>
      </c>
      <c r="M99" s="222">
        <v>0</v>
      </c>
      <c r="N99" s="229">
        <v>0</v>
      </c>
    </row>
    <row r="100" spans="1:14" x14ac:dyDescent="0.25">
      <c r="A100" s="33" t="s">
        <v>180</v>
      </c>
      <c r="B100" s="33" t="s">
        <v>181</v>
      </c>
      <c r="C100" s="91">
        <v>6500</v>
      </c>
      <c r="D100" s="90">
        <v>0</v>
      </c>
      <c r="E100" s="46"/>
      <c r="F100" s="90">
        <v>3000</v>
      </c>
      <c r="G100" s="46"/>
      <c r="H100" s="90">
        <v>0</v>
      </c>
      <c r="I100" s="47"/>
      <c r="J100" s="90">
        <v>0</v>
      </c>
      <c r="K100" s="199">
        <v>0</v>
      </c>
      <c r="L100" s="222">
        <v>0</v>
      </c>
      <c r="M100" s="222">
        <v>0</v>
      </c>
      <c r="N100" s="229">
        <v>3000</v>
      </c>
    </row>
    <row r="101" spans="1:14" x14ac:dyDescent="0.25">
      <c r="A101" s="33" t="s">
        <v>182</v>
      </c>
      <c r="B101" s="33" t="s">
        <v>183</v>
      </c>
      <c r="C101" s="91">
        <v>5960</v>
      </c>
      <c r="D101" s="90">
        <v>0</v>
      </c>
      <c r="E101" s="46"/>
      <c r="F101" s="90">
        <v>2000</v>
      </c>
      <c r="G101" s="46"/>
      <c r="H101" s="90">
        <v>0</v>
      </c>
      <c r="I101" s="47"/>
      <c r="J101" s="90">
        <v>0</v>
      </c>
      <c r="K101" s="199">
        <v>0</v>
      </c>
      <c r="L101" s="222">
        <v>0</v>
      </c>
      <c r="M101" s="222">
        <v>0</v>
      </c>
      <c r="N101" s="229">
        <v>2000</v>
      </c>
    </row>
    <row r="102" spans="1:14" ht="16.5" thickBot="1" x14ac:dyDescent="0.3">
      <c r="A102" s="33" t="s">
        <v>184</v>
      </c>
      <c r="B102" s="33" t="s">
        <v>185</v>
      </c>
      <c r="C102" s="94">
        <v>0</v>
      </c>
      <c r="D102" s="123">
        <v>0</v>
      </c>
      <c r="E102" s="51"/>
      <c r="F102" s="123">
        <v>0</v>
      </c>
      <c r="G102" s="51"/>
      <c r="H102" s="123">
        <v>0</v>
      </c>
      <c r="I102" s="52"/>
      <c r="J102" s="123">
        <v>0</v>
      </c>
      <c r="K102" s="200">
        <v>0</v>
      </c>
      <c r="L102" s="223">
        <v>0</v>
      </c>
      <c r="M102" s="223">
        <v>0</v>
      </c>
      <c r="N102" s="230">
        <v>0</v>
      </c>
    </row>
    <row r="103" spans="1:14" x14ac:dyDescent="0.25">
      <c r="A103" s="277" t="s">
        <v>186</v>
      </c>
      <c r="B103" s="277"/>
      <c r="C103" s="91">
        <f>SUM(C99:C102)</f>
        <v>112460</v>
      </c>
      <c r="D103" s="90">
        <f>SUM(D99:D102)</f>
        <v>0</v>
      </c>
      <c r="E103" s="46"/>
      <c r="F103" s="90">
        <v>5000</v>
      </c>
      <c r="G103" s="46"/>
      <c r="H103" s="90">
        <v>0</v>
      </c>
      <c r="I103" s="47"/>
      <c r="J103" s="90">
        <f>SUM(J99:J102)</f>
        <v>0</v>
      </c>
      <c r="K103" s="199">
        <f>SUM(K99:K102)</f>
        <v>0</v>
      </c>
      <c r="L103" s="222">
        <f>SUM(L99:L102)</f>
        <v>0</v>
      </c>
      <c r="M103" s="222">
        <f t="shared" ref="M103:N103" si="19">SUM(M99:M102)</f>
        <v>0</v>
      </c>
      <c r="N103" s="229">
        <f t="shared" si="19"/>
        <v>5000</v>
      </c>
    </row>
    <row r="104" spans="1:14" x14ac:dyDescent="0.25">
      <c r="A104" s="33"/>
      <c r="B104" s="33"/>
      <c r="C104" s="91"/>
      <c r="D104" s="90"/>
      <c r="E104" s="46"/>
      <c r="F104" s="90"/>
      <c r="G104" s="46"/>
      <c r="H104" s="90"/>
      <c r="I104" s="47"/>
      <c r="J104" s="90"/>
      <c r="K104" s="199"/>
      <c r="L104" s="33"/>
      <c r="M104" s="33"/>
      <c r="N104" s="232"/>
    </row>
    <row r="105" spans="1:14" x14ac:dyDescent="0.25">
      <c r="A105" s="89" t="s">
        <v>42</v>
      </c>
      <c r="B105" s="33"/>
      <c r="C105" s="91"/>
      <c r="D105" s="90"/>
      <c r="E105" s="46"/>
      <c r="F105" s="90"/>
      <c r="G105" s="46"/>
      <c r="H105" s="90"/>
      <c r="I105" s="47"/>
      <c r="J105" s="90"/>
      <c r="K105" s="199"/>
      <c r="M105" s="33"/>
      <c r="N105" s="232"/>
    </row>
    <row r="106" spans="1:14" ht="18.75" customHeight="1" x14ac:dyDescent="0.25">
      <c r="A106" s="33" t="s">
        <v>187</v>
      </c>
      <c r="B106" s="33" t="s">
        <v>188</v>
      </c>
      <c r="C106" s="91">
        <v>474.56</v>
      </c>
      <c r="D106" s="90">
        <v>350</v>
      </c>
      <c r="E106" s="46">
        <v>802.17</v>
      </c>
      <c r="F106" s="90">
        <v>500</v>
      </c>
      <c r="G106" s="46">
        <v>988.72</v>
      </c>
      <c r="H106" s="90">
        <v>700</v>
      </c>
      <c r="I106" s="47">
        <v>741.2</v>
      </c>
      <c r="J106" s="90">
        <v>700</v>
      </c>
      <c r="K106" s="199">
        <v>700</v>
      </c>
      <c r="L106" s="222">
        <v>700</v>
      </c>
      <c r="M106" s="222">
        <v>721</v>
      </c>
      <c r="N106" s="229">
        <f t="shared" ref="N106:N112" si="20">(L106*3%)+L106</f>
        <v>721</v>
      </c>
    </row>
    <row r="107" spans="1:14" x14ac:dyDescent="0.25">
      <c r="A107" s="33" t="s">
        <v>189</v>
      </c>
      <c r="B107" s="33" t="s">
        <v>190</v>
      </c>
      <c r="C107" s="91">
        <v>50000</v>
      </c>
      <c r="D107" s="90">
        <v>0</v>
      </c>
      <c r="E107" s="46"/>
      <c r="F107" s="90">
        <v>0</v>
      </c>
      <c r="G107" s="46"/>
      <c r="H107" s="90">
        <v>0</v>
      </c>
      <c r="I107" s="47"/>
      <c r="J107" s="90"/>
      <c r="K107" s="199"/>
      <c r="L107" s="222">
        <f>K107+(K107*'REVEN&amp;EXP - ALL FUNDS'!$E$5)</f>
        <v>0</v>
      </c>
      <c r="M107" s="222">
        <v>0</v>
      </c>
      <c r="N107" s="229">
        <f t="shared" si="20"/>
        <v>0</v>
      </c>
    </row>
    <row r="108" spans="1:14" ht="17.25" customHeight="1" thickBot="1" x14ac:dyDescent="0.3">
      <c r="A108" s="33" t="s">
        <v>191</v>
      </c>
      <c r="B108" s="33" t="s">
        <v>574</v>
      </c>
      <c r="C108" s="94">
        <v>10921.68</v>
      </c>
      <c r="D108" s="90">
        <v>3000</v>
      </c>
      <c r="E108" s="64">
        <v>6876.1</v>
      </c>
      <c r="F108" s="90">
        <v>1000</v>
      </c>
      <c r="G108" s="64">
        <v>17894.75</v>
      </c>
      <c r="H108" s="90">
        <v>5000</v>
      </c>
      <c r="I108" s="65">
        <f>13715+446.72</f>
        <v>14161.72</v>
      </c>
      <c r="J108" s="90">
        <v>10000</v>
      </c>
      <c r="K108" s="199">
        <v>10000</v>
      </c>
      <c r="L108" s="222">
        <f>K108+(K108*'REVEN&amp;EXP - ALL FUNDS'!$E$5)</f>
        <v>10300</v>
      </c>
      <c r="M108" s="222">
        <v>0</v>
      </c>
      <c r="N108" s="229">
        <f t="shared" si="20"/>
        <v>10609</v>
      </c>
    </row>
    <row r="109" spans="1:14" ht="17.25" customHeight="1" thickBot="1" x14ac:dyDescent="0.3">
      <c r="A109" s="33" t="s">
        <v>192</v>
      </c>
      <c r="B109" s="33" t="s">
        <v>193</v>
      </c>
      <c r="C109" s="94">
        <v>10921.68</v>
      </c>
      <c r="D109" s="123">
        <v>0</v>
      </c>
      <c r="E109" s="51">
        <v>0</v>
      </c>
      <c r="F109" s="90">
        <v>0</v>
      </c>
      <c r="G109" s="64">
        <v>0</v>
      </c>
      <c r="H109" s="90">
        <v>30000</v>
      </c>
      <c r="I109" s="65">
        <v>0</v>
      </c>
      <c r="J109" s="90"/>
      <c r="K109" s="199"/>
      <c r="L109" s="222">
        <f>K109+(K109*'REVEN&amp;EXP - ALL FUNDS'!$E$5)</f>
        <v>0</v>
      </c>
      <c r="M109" s="222">
        <v>0</v>
      </c>
      <c r="N109" s="229">
        <f t="shared" si="20"/>
        <v>0</v>
      </c>
    </row>
    <row r="110" spans="1:14" ht="17.25" customHeight="1" thickBot="1" x14ac:dyDescent="0.3">
      <c r="A110" s="33" t="s">
        <v>617</v>
      </c>
      <c r="B110" s="33" t="s">
        <v>618</v>
      </c>
      <c r="C110" s="94"/>
      <c r="D110" s="90"/>
      <c r="E110" s="64"/>
      <c r="F110" s="90">
        <v>0</v>
      </c>
      <c r="G110" s="64">
        <v>0</v>
      </c>
      <c r="H110" s="90">
        <v>0</v>
      </c>
      <c r="I110" s="65">
        <v>54604</v>
      </c>
      <c r="J110" s="90"/>
      <c r="K110" s="199"/>
      <c r="L110" s="222">
        <f>K110+(K110*'REVEN&amp;EXP - ALL FUNDS'!$E$5)</f>
        <v>0</v>
      </c>
      <c r="M110" s="222">
        <v>0</v>
      </c>
      <c r="N110" s="229">
        <f t="shared" si="20"/>
        <v>0</v>
      </c>
    </row>
    <row r="111" spans="1:14" ht="17.25" customHeight="1" thickBot="1" x14ac:dyDescent="0.3">
      <c r="A111" s="33" t="s">
        <v>575</v>
      </c>
      <c r="B111" s="33" t="s">
        <v>576</v>
      </c>
      <c r="C111" s="94"/>
      <c r="D111" s="90"/>
      <c r="E111" s="64"/>
      <c r="F111" s="90">
        <v>0</v>
      </c>
      <c r="G111" s="64">
        <v>65000</v>
      </c>
      <c r="H111" s="90"/>
      <c r="I111" s="65">
        <v>25000</v>
      </c>
      <c r="J111" s="90"/>
      <c r="K111" s="199"/>
      <c r="L111" s="222">
        <f>K111+(K111*'REVEN&amp;EXP - ALL FUNDS'!$E$5)</f>
        <v>0</v>
      </c>
      <c r="M111" s="222">
        <v>0</v>
      </c>
      <c r="N111" s="229">
        <f t="shared" si="20"/>
        <v>0</v>
      </c>
    </row>
    <row r="112" spans="1:14" ht="17.25" customHeight="1" thickBot="1" x14ac:dyDescent="0.3">
      <c r="A112" s="33" t="s">
        <v>577</v>
      </c>
      <c r="B112" s="33" t="s">
        <v>578</v>
      </c>
      <c r="C112" s="94">
        <v>10921.68</v>
      </c>
      <c r="D112" s="123">
        <v>0</v>
      </c>
      <c r="E112" s="51">
        <v>0</v>
      </c>
      <c r="F112" s="123">
        <v>0</v>
      </c>
      <c r="G112" s="51">
        <v>87555</v>
      </c>
      <c r="H112" s="123">
        <v>0</v>
      </c>
      <c r="I112" s="52">
        <v>0</v>
      </c>
      <c r="J112" s="123"/>
      <c r="K112" s="200"/>
      <c r="L112" s="223">
        <f>K112+(K112*'REVEN&amp;EXP - ALL FUNDS'!$E$5)</f>
        <v>0</v>
      </c>
      <c r="M112" s="223">
        <v>0</v>
      </c>
      <c r="N112" s="230">
        <f t="shared" si="20"/>
        <v>0</v>
      </c>
    </row>
    <row r="113" spans="1:14" x14ac:dyDescent="0.25">
      <c r="A113" s="277" t="s">
        <v>194</v>
      </c>
      <c r="B113" s="277"/>
      <c r="C113" s="91">
        <f t="shared" ref="C113:J113" si="21">SUM(C106:C112)</f>
        <v>83239.600000000006</v>
      </c>
      <c r="D113" s="91">
        <f t="shared" si="21"/>
        <v>3350</v>
      </c>
      <c r="E113" s="124">
        <f t="shared" si="21"/>
        <v>7678.27</v>
      </c>
      <c r="F113" s="91">
        <v>1500</v>
      </c>
      <c r="G113" s="124">
        <v>171438.47</v>
      </c>
      <c r="H113" s="91">
        <v>35700</v>
      </c>
      <c r="I113" s="125">
        <f t="shared" si="21"/>
        <v>94506.92</v>
      </c>
      <c r="J113" s="91">
        <f t="shared" si="21"/>
        <v>10700</v>
      </c>
      <c r="K113" s="201">
        <f t="shared" ref="K113" si="22">SUM(K106:K112)</f>
        <v>10700</v>
      </c>
      <c r="L113" s="225">
        <f t="shared" ref="L113" si="23">SUM(L106:L112)</f>
        <v>11000</v>
      </c>
      <c r="M113" s="225">
        <f>SUM(M106:M112)</f>
        <v>721</v>
      </c>
      <c r="N113" s="231">
        <f>SUM(N106:N112)</f>
        <v>11330</v>
      </c>
    </row>
    <row r="114" spans="1:14" x14ac:dyDescent="0.25">
      <c r="A114" s="33"/>
      <c r="B114" s="33"/>
      <c r="C114" s="91"/>
      <c r="D114" s="90"/>
      <c r="E114" s="46"/>
      <c r="F114" s="90"/>
      <c r="G114" s="46"/>
      <c r="H114" s="90"/>
      <c r="I114" s="47"/>
      <c r="J114" s="90"/>
      <c r="K114" s="199"/>
      <c r="M114" s="33"/>
      <c r="N114" s="232"/>
    </row>
    <row r="115" spans="1:14" x14ac:dyDescent="0.25">
      <c r="B115" s="153" t="s">
        <v>43</v>
      </c>
      <c r="C115" s="107">
        <f>C13+C21+C38+C42+C79+C96+C103+C113</f>
        <v>812793.03</v>
      </c>
      <c r="D115" s="246">
        <f>D13+D21+D38+D42+D79+D96+D103+D113</f>
        <v>532668</v>
      </c>
      <c r="E115" s="246">
        <f>E13+E21+E38+E42+E79+E96+E103+E113</f>
        <v>699737.7</v>
      </c>
      <c r="F115" s="246">
        <v>636398</v>
      </c>
      <c r="G115" s="246">
        <v>984064.8</v>
      </c>
      <c r="H115" s="246">
        <v>672111</v>
      </c>
      <c r="I115" s="246">
        <f>+I13+I21+I38+I79+I91+I96+I103+I113</f>
        <v>759972.75999999989</v>
      </c>
      <c r="J115" s="246">
        <f>J13+J21+J38+J42+J79+J91+J96+J103+J113</f>
        <v>820464</v>
      </c>
      <c r="K115" s="246">
        <f>K13+K21+K38+K42+K79+K91+K96+K103+K113</f>
        <v>807827</v>
      </c>
      <c r="L115" s="247">
        <f>L13+L21+L38+L42+L79+L91+L96+L103+L113</f>
        <v>1019488.1000000001</v>
      </c>
      <c r="M115" s="247">
        <f t="shared" ref="M115:N115" si="24">M13+M21+M38+M42+M79+M91+M96+M103+M113</f>
        <v>62873</v>
      </c>
      <c r="N115" s="248">
        <f t="shared" si="24"/>
        <v>1104743.8430000001</v>
      </c>
    </row>
    <row r="116" spans="1:14" x14ac:dyDescent="0.25">
      <c r="A116" s="33"/>
      <c r="B116" s="33"/>
      <c r="C116" s="91"/>
      <c r="D116" s="90"/>
      <c r="E116" s="45"/>
      <c r="F116" s="90"/>
      <c r="G116" s="45"/>
      <c r="H116" s="90"/>
      <c r="I116" s="45"/>
      <c r="J116" s="90"/>
      <c r="K116" s="90"/>
    </row>
    <row r="117" spans="1:14" x14ac:dyDescent="0.25">
      <c r="A117" s="33"/>
      <c r="B117" s="33"/>
      <c r="C117" s="91"/>
      <c r="D117" s="90"/>
      <c r="E117" s="45"/>
      <c r="F117" s="90"/>
      <c r="G117" s="45"/>
      <c r="H117" s="90"/>
      <c r="I117" s="45"/>
      <c r="J117" s="90"/>
      <c r="K117" s="90"/>
    </row>
    <row r="118" spans="1:14" x14ac:dyDescent="0.25">
      <c r="A118" s="33"/>
      <c r="B118" s="33"/>
      <c r="C118" s="91"/>
      <c r="D118" s="90"/>
      <c r="E118" s="45"/>
      <c r="F118" s="90"/>
      <c r="G118" s="45"/>
      <c r="H118" s="90"/>
      <c r="I118" s="45"/>
      <c r="J118" s="90"/>
      <c r="K118" s="90"/>
    </row>
    <row r="119" spans="1:14" x14ac:dyDescent="0.25">
      <c r="A119" s="33"/>
      <c r="B119" s="33"/>
      <c r="C119" s="91"/>
      <c r="D119" s="90"/>
      <c r="E119" s="45"/>
      <c r="F119" s="90"/>
      <c r="G119" s="45"/>
      <c r="H119" s="90"/>
      <c r="I119" s="45"/>
      <c r="J119" s="90"/>
      <c r="K119" s="90"/>
    </row>
    <row r="120" spans="1:14" x14ac:dyDescent="0.25">
      <c r="A120" s="33"/>
      <c r="B120" s="33"/>
      <c r="C120" s="91"/>
      <c r="D120" s="90"/>
      <c r="E120" s="45"/>
      <c r="F120" s="90"/>
      <c r="G120" s="45"/>
      <c r="H120" s="90"/>
      <c r="I120" s="45"/>
      <c r="J120" s="90"/>
      <c r="K120" s="90"/>
    </row>
    <row r="121" spans="1:14" x14ac:dyDescent="0.25">
      <c r="A121" s="33"/>
      <c r="B121" s="33"/>
      <c r="C121" s="91"/>
      <c r="D121" s="90"/>
      <c r="E121" s="45"/>
      <c r="F121" s="90"/>
      <c r="G121" s="45"/>
      <c r="H121" s="90"/>
      <c r="I121" s="45"/>
      <c r="J121" s="90"/>
      <c r="K121" s="90"/>
    </row>
    <row r="122" spans="1:14" x14ac:dyDescent="0.25">
      <c r="A122" s="33"/>
      <c r="B122" s="33"/>
      <c r="C122" s="91"/>
      <c r="D122" s="90"/>
      <c r="E122" s="45"/>
      <c r="F122" s="90"/>
      <c r="G122" s="45"/>
      <c r="H122" s="90"/>
      <c r="I122" s="45"/>
      <c r="J122" s="90"/>
      <c r="K122" s="90"/>
    </row>
    <row r="123" spans="1:14" x14ac:dyDescent="0.25">
      <c r="A123" s="33"/>
      <c r="B123" s="33"/>
      <c r="C123" s="91"/>
      <c r="D123" s="90"/>
      <c r="E123" s="45"/>
      <c r="F123" s="90"/>
      <c r="G123" s="45"/>
      <c r="H123" s="90"/>
      <c r="I123" s="45"/>
      <c r="J123" s="90"/>
      <c r="K123" s="90"/>
    </row>
    <row r="124" spans="1:14" x14ac:dyDescent="0.25">
      <c r="A124" s="33"/>
      <c r="B124" s="33"/>
      <c r="C124" s="91"/>
      <c r="D124" s="90"/>
      <c r="E124" s="45"/>
      <c r="F124" s="90"/>
      <c r="G124" s="45"/>
      <c r="H124" s="90"/>
      <c r="I124" s="45"/>
      <c r="J124" s="90"/>
      <c r="K124" s="90"/>
    </row>
    <row r="125" spans="1:14" x14ac:dyDescent="0.25">
      <c r="A125" s="33"/>
      <c r="B125" s="33"/>
      <c r="C125" s="91"/>
      <c r="D125" s="90"/>
      <c r="E125" s="45"/>
      <c r="F125" s="90"/>
      <c r="G125" s="45"/>
      <c r="H125" s="90"/>
      <c r="I125" s="45"/>
      <c r="J125" s="90"/>
      <c r="K125" s="90"/>
    </row>
    <row r="126" spans="1:14" x14ac:dyDescent="0.25">
      <c r="A126" s="33"/>
      <c r="B126" s="33"/>
      <c r="C126" s="91"/>
      <c r="D126" s="90"/>
      <c r="E126" s="45"/>
      <c r="F126" s="90"/>
      <c r="G126" s="45"/>
      <c r="H126" s="90"/>
      <c r="I126" s="45"/>
      <c r="J126" s="90"/>
      <c r="K126" s="90"/>
    </row>
    <row r="127" spans="1:14" x14ac:dyDescent="0.25">
      <c r="A127" s="33"/>
      <c r="B127" s="33"/>
      <c r="C127" s="91"/>
      <c r="D127" s="90"/>
      <c r="E127" s="45"/>
      <c r="F127" s="90"/>
      <c r="G127" s="45"/>
      <c r="H127" s="90"/>
      <c r="I127" s="45"/>
      <c r="J127" s="90"/>
      <c r="K127" s="90"/>
    </row>
    <row r="128" spans="1:14" x14ac:dyDescent="0.25">
      <c r="A128" s="33"/>
      <c r="B128" s="33"/>
      <c r="C128" s="91"/>
      <c r="D128" s="90"/>
      <c r="E128" s="45"/>
      <c r="F128" s="90"/>
      <c r="G128" s="45"/>
      <c r="H128" s="90"/>
      <c r="I128" s="45"/>
      <c r="J128" s="90"/>
      <c r="K128" s="90"/>
    </row>
    <row r="129" spans="1:11" x14ac:dyDescent="0.25">
      <c r="A129" s="33"/>
      <c r="B129" s="33"/>
      <c r="C129" s="33"/>
      <c r="D129" s="90"/>
      <c r="E129" s="45"/>
      <c r="F129" s="90"/>
      <c r="G129" s="45"/>
      <c r="H129" s="90"/>
      <c r="I129" s="45"/>
      <c r="J129" s="90"/>
      <c r="K129" s="90"/>
    </row>
    <row r="130" spans="1:11" x14ac:dyDescent="0.25">
      <c r="A130" s="33"/>
      <c r="B130" s="33"/>
      <c r="C130" s="33"/>
      <c r="D130" s="90"/>
      <c r="E130" s="45"/>
      <c r="F130" s="90"/>
      <c r="G130" s="45"/>
      <c r="H130" s="90"/>
      <c r="I130" s="45"/>
      <c r="J130" s="90"/>
      <c r="K130" s="90"/>
    </row>
    <row r="131" spans="1:11" x14ac:dyDescent="0.25">
      <c r="A131" s="33"/>
      <c r="B131" s="33"/>
      <c r="C131" s="33"/>
      <c r="D131" s="90"/>
      <c r="E131" s="45"/>
      <c r="F131" s="90"/>
      <c r="G131" s="45"/>
      <c r="H131" s="90"/>
      <c r="I131" s="45"/>
      <c r="J131" s="90"/>
      <c r="K131" s="90"/>
    </row>
    <row r="132" spans="1:11" x14ac:dyDescent="0.25">
      <c r="A132" s="33"/>
      <c r="B132" s="33"/>
      <c r="C132" s="33"/>
      <c r="D132" s="90"/>
      <c r="E132" s="45"/>
      <c r="F132" s="90"/>
      <c r="G132" s="45"/>
      <c r="H132" s="90"/>
      <c r="I132" s="45"/>
      <c r="J132" s="90"/>
      <c r="K132" s="90"/>
    </row>
    <row r="133" spans="1:11" x14ac:dyDescent="0.25">
      <c r="A133" s="33"/>
      <c r="B133" s="33"/>
      <c r="C133" s="33"/>
      <c r="D133" s="90"/>
      <c r="E133" s="45"/>
      <c r="F133" s="90"/>
      <c r="G133" s="45"/>
      <c r="H133" s="90"/>
      <c r="I133" s="45"/>
      <c r="J133" s="90"/>
      <c r="K133" s="90"/>
    </row>
    <row r="134" spans="1:11" x14ac:dyDescent="0.25">
      <c r="A134" s="33"/>
      <c r="B134" s="33"/>
      <c r="C134" s="33"/>
      <c r="D134" s="90"/>
      <c r="E134" s="45"/>
      <c r="F134" s="90"/>
      <c r="G134" s="45"/>
      <c r="H134" s="90"/>
      <c r="I134" s="45"/>
      <c r="J134" s="90"/>
      <c r="K134" s="90"/>
    </row>
    <row r="135" spans="1:11" x14ac:dyDescent="0.25">
      <c r="A135" s="33"/>
      <c r="B135" s="33"/>
      <c r="C135" s="33"/>
      <c r="D135" s="90"/>
      <c r="E135" s="45"/>
      <c r="F135" s="90"/>
      <c r="G135" s="45"/>
      <c r="H135" s="90"/>
      <c r="I135" s="45"/>
      <c r="J135" s="90"/>
      <c r="K135" s="90"/>
    </row>
    <row r="136" spans="1:11" x14ac:dyDescent="0.25">
      <c r="A136" s="33"/>
      <c r="B136" s="33"/>
      <c r="C136" s="33"/>
      <c r="D136" s="90"/>
      <c r="E136" s="45"/>
      <c r="F136" s="90"/>
      <c r="G136" s="45"/>
      <c r="H136" s="90"/>
      <c r="I136" s="45"/>
      <c r="J136" s="90"/>
      <c r="K136" s="90"/>
    </row>
    <row r="137" spans="1:11" x14ac:dyDescent="0.25">
      <c r="A137" s="33"/>
      <c r="B137" s="33"/>
      <c r="C137" s="33"/>
      <c r="D137" s="90"/>
      <c r="E137" s="45"/>
      <c r="F137" s="90"/>
      <c r="G137" s="45"/>
      <c r="H137" s="90"/>
      <c r="I137" s="45"/>
      <c r="J137" s="90"/>
      <c r="K137" s="90"/>
    </row>
    <row r="138" spans="1:11" x14ac:dyDescent="0.25">
      <c r="A138" s="33"/>
      <c r="B138" s="33"/>
      <c r="C138" s="33"/>
      <c r="D138" s="90"/>
      <c r="E138" s="45"/>
      <c r="F138" s="90"/>
      <c r="G138" s="45"/>
      <c r="H138" s="90"/>
      <c r="I138" s="45"/>
      <c r="J138" s="90"/>
      <c r="K138" s="90"/>
    </row>
    <row r="139" spans="1:11" x14ac:dyDescent="0.25">
      <c r="A139" s="33"/>
      <c r="B139" s="33"/>
      <c r="C139" s="33"/>
      <c r="D139" s="90"/>
      <c r="E139" s="45"/>
      <c r="F139" s="90"/>
      <c r="G139" s="45"/>
      <c r="H139" s="90"/>
      <c r="I139" s="45"/>
      <c r="J139" s="90"/>
      <c r="K139" s="90"/>
    </row>
    <row r="140" spans="1:11" x14ac:dyDescent="0.25">
      <c r="A140" s="33"/>
      <c r="B140" s="33"/>
      <c r="C140" s="33"/>
      <c r="D140" s="90"/>
      <c r="E140" s="45"/>
      <c r="F140" s="90"/>
      <c r="G140" s="45"/>
      <c r="H140" s="90"/>
      <c r="I140" s="45"/>
      <c r="J140" s="90"/>
      <c r="K140" s="90"/>
    </row>
    <row r="141" spans="1:11" x14ac:dyDescent="0.25">
      <c r="A141" s="33"/>
      <c r="B141" s="33"/>
      <c r="C141" s="33"/>
      <c r="D141" s="90"/>
      <c r="E141" s="45"/>
      <c r="F141" s="90"/>
      <c r="G141" s="45"/>
      <c r="H141" s="90"/>
      <c r="I141" s="45"/>
      <c r="J141" s="90"/>
      <c r="K141" s="90"/>
    </row>
    <row r="142" spans="1:11" x14ac:dyDescent="0.25">
      <c r="A142" s="33"/>
      <c r="B142" s="33"/>
      <c r="C142" s="33"/>
      <c r="D142" s="90"/>
      <c r="E142" s="45"/>
      <c r="F142" s="90"/>
      <c r="G142" s="45"/>
      <c r="H142" s="90"/>
      <c r="I142" s="45"/>
      <c r="J142" s="90"/>
      <c r="K142" s="90"/>
    </row>
    <row r="143" spans="1:11" x14ac:dyDescent="0.25">
      <c r="A143" s="33"/>
      <c r="B143" s="33"/>
      <c r="C143" s="33"/>
      <c r="D143" s="90"/>
      <c r="E143" s="45"/>
      <c r="F143" s="90"/>
      <c r="G143" s="45"/>
      <c r="H143" s="90"/>
      <c r="I143" s="45"/>
      <c r="J143" s="90"/>
      <c r="K143" s="90"/>
    </row>
    <row r="144" spans="1:11" x14ac:dyDescent="0.25">
      <c r="A144" s="33"/>
      <c r="B144" s="33"/>
      <c r="C144" s="33"/>
      <c r="D144" s="90"/>
      <c r="E144" s="45"/>
      <c r="F144" s="90"/>
      <c r="G144" s="45"/>
      <c r="H144" s="90"/>
      <c r="I144" s="45"/>
      <c r="J144" s="90"/>
      <c r="K144" s="90"/>
    </row>
    <row r="145" spans="1:11" x14ac:dyDescent="0.25">
      <c r="A145" s="33"/>
      <c r="B145" s="33"/>
      <c r="C145" s="33"/>
      <c r="D145" s="90"/>
      <c r="E145" s="45"/>
      <c r="F145" s="90"/>
      <c r="G145" s="45"/>
      <c r="H145" s="90"/>
      <c r="I145" s="45"/>
      <c r="J145" s="90"/>
      <c r="K145" s="90"/>
    </row>
    <row r="146" spans="1:11" x14ac:dyDescent="0.25">
      <c r="A146" s="33"/>
      <c r="B146" s="33"/>
      <c r="C146" s="33"/>
      <c r="D146" s="90"/>
      <c r="E146" s="45"/>
      <c r="F146" s="90"/>
      <c r="G146" s="45"/>
      <c r="H146" s="90"/>
      <c r="I146" s="45"/>
      <c r="J146" s="90"/>
      <c r="K146" s="90"/>
    </row>
    <row r="147" spans="1:11" x14ac:dyDescent="0.25">
      <c r="A147" s="33"/>
      <c r="B147" s="33"/>
      <c r="C147" s="33"/>
      <c r="D147" s="90"/>
      <c r="E147" s="45"/>
      <c r="F147" s="90"/>
      <c r="G147" s="45"/>
      <c r="H147" s="90"/>
      <c r="I147" s="45"/>
      <c r="J147" s="90"/>
      <c r="K147" s="90"/>
    </row>
    <row r="148" spans="1:11" x14ac:dyDescent="0.25">
      <c r="A148" s="33"/>
      <c r="B148" s="33"/>
      <c r="C148" s="33"/>
      <c r="D148" s="90"/>
      <c r="E148" s="45"/>
      <c r="F148" s="90"/>
      <c r="G148" s="45"/>
      <c r="H148" s="90"/>
      <c r="I148" s="45"/>
      <c r="J148" s="90"/>
      <c r="K148" s="90"/>
    </row>
    <row r="149" spans="1:11" x14ac:dyDescent="0.25">
      <c r="A149" s="33"/>
      <c r="B149" s="33"/>
      <c r="C149" s="33"/>
      <c r="D149" s="90"/>
      <c r="E149" s="45"/>
      <c r="F149" s="90"/>
      <c r="G149" s="45"/>
      <c r="H149" s="90"/>
      <c r="I149" s="45"/>
      <c r="J149" s="90"/>
      <c r="K149" s="90"/>
    </row>
    <row r="150" spans="1:11" x14ac:dyDescent="0.25">
      <c r="A150" s="33"/>
      <c r="B150" s="33"/>
      <c r="C150" s="33"/>
      <c r="D150" s="90"/>
      <c r="E150" s="45"/>
      <c r="F150" s="90"/>
      <c r="G150" s="45"/>
      <c r="H150" s="90"/>
      <c r="I150" s="45"/>
      <c r="J150" s="90"/>
      <c r="K150" s="90"/>
    </row>
    <row r="151" spans="1:11" x14ac:dyDescent="0.25">
      <c r="A151" s="33"/>
      <c r="B151" s="33"/>
      <c r="C151" s="33"/>
      <c r="D151" s="90"/>
      <c r="E151" s="45"/>
      <c r="F151" s="90"/>
      <c r="G151" s="45"/>
      <c r="H151" s="90"/>
      <c r="I151" s="45"/>
      <c r="J151" s="90"/>
      <c r="K151" s="90"/>
    </row>
    <row r="152" spans="1:11" x14ac:dyDescent="0.25">
      <c r="A152" s="33"/>
      <c r="B152" s="33"/>
      <c r="C152" s="33"/>
      <c r="D152" s="90"/>
      <c r="E152" s="45"/>
      <c r="F152" s="90"/>
      <c r="G152" s="45"/>
      <c r="H152" s="90"/>
      <c r="I152" s="45"/>
      <c r="J152" s="90"/>
      <c r="K152" s="90"/>
    </row>
  </sheetData>
  <mergeCells count="10">
    <mergeCell ref="A113:B113"/>
    <mergeCell ref="A96:B96"/>
    <mergeCell ref="A13:B13"/>
    <mergeCell ref="A21:B21"/>
    <mergeCell ref="A38:B38"/>
    <mergeCell ref="A42:B42"/>
    <mergeCell ref="A79:B79"/>
    <mergeCell ref="A103:B103"/>
    <mergeCell ref="A91:B91"/>
    <mergeCell ref="A46:B46"/>
  </mergeCells>
  <pageMargins left="0.7" right="0.7" top="0.75" bottom="0.75" header="0.3" footer="0.3"/>
  <pageSetup paperSize="17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Q97"/>
  <sheetViews>
    <sheetView topLeftCell="A2" zoomScale="90" zoomScaleNormal="90" workbookViewId="0">
      <selection activeCell="Q11" sqref="Q11"/>
    </sheetView>
  </sheetViews>
  <sheetFormatPr defaultColWidth="9.140625" defaultRowHeight="15.75" x14ac:dyDescent="0.25"/>
  <cols>
    <col min="1" max="1" width="12.28515625" style="34" customWidth="1"/>
    <col min="2" max="2" width="34" style="34" customWidth="1"/>
    <col min="3" max="3" width="10.7109375" style="34" hidden="1" customWidth="1"/>
    <col min="4" max="5" width="10.5703125" style="116" hidden="1" customWidth="1"/>
    <col min="6" max="6" width="14" style="116" hidden="1" customWidth="1"/>
    <col min="7" max="7" width="11.28515625" style="116" hidden="1" customWidth="1"/>
    <col min="8" max="8" width="12.28515625" style="116" hidden="1" customWidth="1"/>
    <col min="9" max="9" width="11.140625" style="116" hidden="1" customWidth="1"/>
    <col min="10" max="10" width="11" style="116" hidden="1" customWidth="1"/>
    <col min="11" max="11" width="11.140625" style="34" hidden="1" customWidth="1"/>
    <col min="12" max="12" width="11.85546875" style="34" hidden="1" customWidth="1"/>
    <col min="13" max="13" width="3.140625" style="116" hidden="1" customWidth="1"/>
    <col min="14" max="16" width="13.42578125" style="34" customWidth="1"/>
    <col min="17" max="17" width="6.42578125" style="34" customWidth="1"/>
    <col min="18" max="16384" width="9.140625" style="34"/>
  </cols>
  <sheetData>
    <row r="1" spans="1:17" x14ac:dyDescent="0.25">
      <c r="A1" s="32" t="s">
        <v>563</v>
      </c>
      <c r="B1" s="32"/>
      <c r="C1" s="32"/>
      <c r="D1" s="32"/>
      <c r="E1" s="32"/>
      <c r="F1" s="32"/>
      <c r="G1" s="32"/>
      <c r="H1" s="32"/>
      <c r="I1" s="32"/>
      <c r="J1" s="32"/>
      <c r="M1" s="32"/>
    </row>
    <row r="2" spans="1:17" x14ac:dyDescent="0.25">
      <c r="A2" s="32" t="s">
        <v>564</v>
      </c>
      <c r="B2" s="32"/>
      <c r="C2" s="32"/>
      <c r="D2" s="32"/>
      <c r="E2" s="32"/>
      <c r="F2" s="32"/>
      <c r="G2" s="32"/>
      <c r="H2" s="32"/>
      <c r="I2" s="32"/>
      <c r="J2" s="32"/>
      <c r="M2" s="32"/>
    </row>
    <row r="3" spans="1:17" x14ac:dyDescent="0.25">
      <c r="A3" s="32" t="str">
        <f>+'GF - REVENUE'!A3</f>
        <v>FISCAL YEAR 2023-2024</v>
      </c>
      <c r="B3" s="32"/>
      <c r="C3" s="32"/>
      <c r="D3" s="32"/>
      <c r="E3" s="32"/>
      <c r="F3" s="32"/>
      <c r="G3" s="32"/>
      <c r="H3" s="32"/>
      <c r="I3" s="32"/>
      <c r="J3" s="32"/>
      <c r="M3" s="32"/>
    </row>
    <row r="4" spans="1:17" ht="12" customHeight="1" x14ac:dyDescent="0.25"/>
    <row r="5" spans="1:17" s="40" customFormat="1" ht="78.75" customHeight="1" thickBot="1" x14ac:dyDescent="0.3">
      <c r="A5" s="79" t="s">
        <v>689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0" t="s">
        <v>23</v>
      </c>
      <c r="H5" s="121" t="str">
        <f>+'GF - REVENUE'!G5</f>
        <v>FY19-20 ACTUAL</v>
      </c>
      <c r="I5" s="120" t="str">
        <f>+'GF - REVENUE'!H5</f>
        <v>FY20-21 BUDGET</v>
      </c>
      <c r="J5" s="122" t="str">
        <f>+'GF - REVENUE'!I5</f>
        <v>FY20-21 ACTUAL</v>
      </c>
      <c r="K5" s="37" t="s">
        <v>670</v>
      </c>
      <c r="L5" s="197" t="s">
        <v>671</v>
      </c>
      <c r="M5" s="134"/>
      <c r="N5" s="120" t="s">
        <v>703</v>
      </c>
      <c r="O5" s="120" t="s">
        <v>687</v>
      </c>
      <c r="P5" s="242" t="s">
        <v>688</v>
      </c>
      <c r="Q5" s="241"/>
    </row>
    <row r="6" spans="1:17" hidden="1" x14ac:dyDescent="0.25">
      <c r="A6" s="33"/>
      <c r="B6" s="33"/>
      <c r="C6" s="33"/>
      <c r="D6" s="90"/>
      <c r="E6" s="135"/>
      <c r="F6" s="90"/>
      <c r="H6" s="136"/>
      <c r="I6" s="90"/>
      <c r="J6" s="137"/>
      <c r="L6" s="198"/>
      <c r="M6" s="138"/>
      <c r="P6" s="228"/>
    </row>
    <row r="7" spans="1:17" hidden="1" x14ac:dyDescent="0.25">
      <c r="A7" s="39" t="s">
        <v>195</v>
      </c>
      <c r="B7" s="33"/>
      <c r="C7" s="33"/>
      <c r="D7" s="90"/>
      <c r="E7" s="135"/>
      <c r="F7" s="90"/>
      <c r="H7" s="136"/>
      <c r="I7" s="90"/>
      <c r="J7" s="137"/>
      <c r="L7" s="198"/>
      <c r="M7" s="138"/>
      <c r="P7" s="228"/>
    </row>
    <row r="8" spans="1:17" hidden="1" x14ac:dyDescent="0.25">
      <c r="A8" s="139" t="s">
        <v>196</v>
      </c>
      <c r="B8" s="106" t="s">
        <v>197</v>
      </c>
      <c r="C8" s="33"/>
      <c r="D8" s="90"/>
      <c r="E8" s="135"/>
      <c r="F8" s="90"/>
      <c r="H8" s="136"/>
      <c r="I8" s="90"/>
      <c r="J8" s="137"/>
      <c r="L8" s="198"/>
      <c r="M8" s="138"/>
      <c r="P8" s="228"/>
    </row>
    <row r="9" spans="1:17" ht="8.25" hidden="1" customHeight="1" x14ac:dyDescent="0.25">
      <c r="A9" s="33"/>
      <c r="B9" s="33"/>
      <c r="C9" s="33"/>
      <c r="D9" s="90"/>
      <c r="E9" s="135"/>
      <c r="F9" s="90"/>
      <c r="H9" s="136"/>
      <c r="I9" s="90"/>
      <c r="J9" s="137"/>
      <c r="L9" s="198"/>
      <c r="M9" s="138"/>
      <c r="P9" s="228"/>
    </row>
    <row r="10" spans="1:17" ht="18.75" customHeight="1" x14ac:dyDescent="0.25">
      <c r="A10" s="89" t="s">
        <v>198</v>
      </c>
      <c r="B10" s="33"/>
      <c r="C10" s="33"/>
      <c r="D10" s="90"/>
      <c r="E10" s="135"/>
      <c r="F10" s="90"/>
      <c r="H10" s="136"/>
      <c r="J10" s="140"/>
      <c r="L10" s="198"/>
      <c r="M10" s="141"/>
      <c r="P10" s="228"/>
    </row>
    <row r="11" spans="1:17" x14ac:dyDescent="0.25">
      <c r="A11" s="33" t="s">
        <v>199</v>
      </c>
      <c r="B11" s="33" t="s">
        <v>200</v>
      </c>
      <c r="C11" s="91">
        <v>53234.57</v>
      </c>
      <c r="D11" s="90">
        <v>45000</v>
      </c>
      <c r="E11" s="135">
        <v>0</v>
      </c>
      <c r="F11" s="90">
        <v>51000</v>
      </c>
      <c r="H11" s="135">
        <v>56819.76</v>
      </c>
      <c r="I11" s="90">
        <v>55000</v>
      </c>
      <c r="J11" s="137">
        <v>42096.07</v>
      </c>
      <c r="K11" s="85">
        <v>56100</v>
      </c>
      <c r="L11" s="206">
        <v>56100</v>
      </c>
      <c r="M11" s="138"/>
      <c r="N11" s="222">
        <v>55000</v>
      </c>
      <c r="O11" s="222">
        <v>0</v>
      </c>
      <c r="P11" s="229">
        <f t="shared" ref="P11:P31" si="0">(N11*3%)+N11</f>
        <v>56650</v>
      </c>
      <c r="Q11" s="222"/>
    </row>
    <row r="12" spans="1:17" x14ac:dyDescent="0.25">
      <c r="A12" s="33" t="s">
        <v>201</v>
      </c>
      <c r="B12" s="33" t="s">
        <v>202</v>
      </c>
      <c r="C12" s="91">
        <f>((10.75+0.88)*12)</f>
        <v>139.56</v>
      </c>
      <c r="D12" s="90">
        <v>0</v>
      </c>
      <c r="E12" s="135">
        <v>0</v>
      </c>
      <c r="F12" s="90">
        <v>139.56</v>
      </c>
      <c r="H12" s="135">
        <v>34.630000000000003</v>
      </c>
      <c r="I12" s="90">
        <v>140</v>
      </c>
      <c r="J12" s="137">
        <v>52.65</v>
      </c>
      <c r="K12" s="90">
        <v>70</v>
      </c>
      <c r="L12" s="199">
        <v>70</v>
      </c>
      <c r="M12" s="138"/>
      <c r="N12" s="222">
        <v>90</v>
      </c>
      <c r="O12" s="222">
        <v>0</v>
      </c>
      <c r="P12" s="229">
        <f t="shared" si="0"/>
        <v>92.7</v>
      </c>
      <c r="Q12" s="222"/>
    </row>
    <row r="13" spans="1:17" x14ac:dyDescent="0.25">
      <c r="A13" s="33" t="s">
        <v>203</v>
      </c>
      <c r="B13" s="33" t="s">
        <v>204</v>
      </c>
      <c r="C13" s="91">
        <v>0</v>
      </c>
      <c r="D13" s="90">
        <v>0</v>
      </c>
      <c r="E13" s="135">
        <v>0</v>
      </c>
      <c r="F13" s="90">
        <v>400</v>
      </c>
      <c r="H13" s="135">
        <v>764.48</v>
      </c>
      <c r="I13" s="90">
        <v>797.5</v>
      </c>
      <c r="J13" s="137">
        <v>549.03</v>
      </c>
      <c r="K13" s="90">
        <v>813</v>
      </c>
      <c r="L13" s="199">
        <v>813</v>
      </c>
      <c r="M13" s="138"/>
      <c r="N13" s="222">
        <f>L13+(L13*'REVEN&amp;EXP - ALL FUNDS'!$E$5)</f>
        <v>837.39</v>
      </c>
      <c r="O13" s="222">
        <v>0</v>
      </c>
      <c r="P13" s="229">
        <f t="shared" si="0"/>
        <v>862.51170000000002</v>
      </c>
      <c r="Q13" s="222"/>
    </row>
    <row r="14" spans="1:17" x14ac:dyDescent="0.25">
      <c r="A14" s="33" t="s">
        <v>207</v>
      </c>
      <c r="B14" s="33" t="s">
        <v>208</v>
      </c>
      <c r="C14" s="91">
        <v>3177</v>
      </c>
      <c r="D14" s="90">
        <v>2633</v>
      </c>
      <c r="E14" s="135">
        <v>0</v>
      </c>
      <c r="F14" s="90">
        <v>2845.8</v>
      </c>
      <c r="H14" s="135">
        <v>4216.05</v>
      </c>
      <c r="I14" s="90">
        <v>3069</v>
      </c>
      <c r="J14" s="137">
        <v>2348.9899999999998</v>
      </c>
      <c r="K14" s="90">
        <v>2771.49</v>
      </c>
      <c r="L14" s="199">
        <v>2771.49</v>
      </c>
      <c r="M14" s="138"/>
      <c r="N14" s="222">
        <f>L14+(L14*'REVEN&amp;EXP - ALL FUNDS'!$E$5)</f>
        <v>2854.6346999999996</v>
      </c>
      <c r="O14" s="222">
        <v>0</v>
      </c>
      <c r="P14" s="229">
        <f t="shared" si="0"/>
        <v>2940.2737409999995</v>
      </c>
      <c r="Q14" s="222"/>
    </row>
    <row r="15" spans="1:17" x14ac:dyDescent="0.25">
      <c r="A15" s="33" t="s">
        <v>209</v>
      </c>
      <c r="B15" s="33" t="s">
        <v>210</v>
      </c>
      <c r="C15" s="91">
        <f>(728.72*12)</f>
        <v>8744.64</v>
      </c>
      <c r="D15" s="90">
        <v>8900</v>
      </c>
      <c r="E15" s="135">
        <v>0</v>
      </c>
      <c r="F15" s="90">
        <v>9198.9600000000009</v>
      </c>
      <c r="H15" s="135">
        <v>11012.71</v>
      </c>
      <c r="I15" s="90">
        <v>9356.64</v>
      </c>
      <c r="J15" s="137">
        <v>7017.48</v>
      </c>
      <c r="K15" s="90">
        <v>9543.49</v>
      </c>
      <c r="L15" s="199">
        <v>9543.49</v>
      </c>
      <c r="M15" s="138"/>
      <c r="N15" s="222">
        <v>10220</v>
      </c>
      <c r="O15" s="222">
        <v>0</v>
      </c>
      <c r="P15" s="229">
        <v>11120</v>
      </c>
      <c r="Q15" s="222"/>
    </row>
    <row r="16" spans="1:17" ht="16.5" thickBot="1" x14ac:dyDescent="0.3">
      <c r="A16" s="33" t="s">
        <v>211</v>
      </c>
      <c r="B16" s="33" t="s">
        <v>212</v>
      </c>
      <c r="C16" s="94">
        <v>0</v>
      </c>
      <c r="D16" s="123">
        <v>0</v>
      </c>
      <c r="E16" s="142">
        <v>0</v>
      </c>
      <c r="F16" s="90">
        <v>0</v>
      </c>
      <c r="H16" s="135">
        <v>0</v>
      </c>
      <c r="I16" s="90">
        <v>2286</v>
      </c>
      <c r="J16" s="137">
        <v>153.58000000000001</v>
      </c>
      <c r="K16" s="90">
        <v>161</v>
      </c>
      <c r="L16" s="199">
        <v>161</v>
      </c>
      <c r="M16" s="138"/>
      <c r="N16" s="222">
        <f>L16+(L16*'REVEN&amp;EXP - ALL FUNDS'!$E$5)</f>
        <v>165.83</v>
      </c>
      <c r="O16" s="222">
        <v>0</v>
      </c>
      <c r="P16" s="229">
        <f t="shared" si="0"/>
        <v>170.8049</v>
      </c>
      <c r="Q16" s="222"/>
    </row>
    <row r="17" spans="1:17" ht="16.5" thickBot="1" x14ac:dyDescent="0.3">
      <c r="A17" s="33" t="s">
        <v>205</v>
      </c>
      <c r="B17" s="33" t="s">
        <v>206</v>
      </c>
      <c r="C17" s="91"/>
      <c r="D17" s="90">
        <v>0</v>
      </c>
      <c r="E17" s="135">
        <v>0</v>
      </c>
      <c r="F17" s="123">
        <v>0</v>
      </c>
      <c r="G17" s="143"/>
      <c r="H17" s="142">
        <v>0</v>
      </c>
      <c r="I17" s="123">
        <v>3410</v>
      </c>
      <c r="J17" s="144">
        <v>2229.61</v>
      </c>
      <c r="K17" s="123">
        <v>3478</v>
      </c>
      <c r="L17" s="200">
        <v>3478</v>
      </c>
      <c r="M17" s="145"/>
      <c r="N17" s="223">
        <f>L17+(L17*'REVEN&amp;EXP - ALL FUNDS'!$E$5)</f>
        <v>3582.34</v>
      </c>
      <c r="O17" s="223">
        <v>0</v>
      </c>
      <c r="P17" s="230">
        <f t="shared" si="0"/>
        <v>3689.8102000000003</v>
      </c>
      <c r="Q17" s="222"/>
    </row>
    <row r="18" spans="1:17" x14ac:dyDescent="0.25">
      <c r="A18" s="277" t="s">
        <v>213</v>
      </c>
      <c r="B18" s="277"/>
      <c r="C18" s="91">
        <f>SUM(C11:C16)</f>
        <v>65295.77</v>
      </c>
      <c r="D18" s="91">
        <f>SUM(D11:D16)</f>
        <v>56533</v>
      </c>
      <c r="E18" s="127"/>
      <c r="F18" s="91">
        <v>63584.32</v>
      </c>
      <c r="G18" s="69"/>
      <c r="H18" s="127">
        <v>72847.63</v>
      </c>
      <c r="I18" s="91">
        <v>74059.14</v>
      </c>
      <c r="J18" s="58">
        <f>SUM(J11:J17)</f>
        <v>54447.41</v>
      </c>
      <c r="K18" s="90">
        <f>SUM(K11:K17)</f>
        <v>72936.98</v>
      </c>
      <c r="L18" s="199">
        <f>SUM(L11:L17)</f>
        <v>72936.98</v>
      </c>
      <c r="M18" s="146"/>
      <c r="N18" s="225">
        <f>SUM(N11:N17)</f>
        <v>72750.194700000007</v>
      </c>
      <c r="O18" s="225">
        <f>SUM(O11:O17)</f>
        <v>0</v>
      </c>
      <c r="P18" s="229">
        <f>SUM(P11:P17)</f>
        <v>75526.100541000007</v>
      </c>
      <c r="Q18" s="222"/>
    </row>
    <row r="19" spans="1:17" x14ac:dyDescent="0.25">
      <c r="A19" s="33"/>
      <c r="B19" s="33"/>
      <c r="C19" s="126"/>
      <c r="D19" s="90"/>
      <c r="E19" s="135"/>
      <c r="F19" s="90"/>
      <c r="H19" s="136"/>
      <c r="I19" s="90"/>
      <c r="J19" s="137"/>
      <c r="K19" s="116"/>
      <c r="L19" s="204"/>
      <c r="M19" s="138"/>
      <c r="P19" s="229"/>
      <c r="Q19" s="222"/>
    </row>
    <row r="20" spans="1:17" x14ac:dyDescent="0.25">
      <c r="A20" s="89" t="s">
        <v>10</v>
      </c>
      <c r="B20" s="33"/>
      <c r="C20" s="126"/>
      <c r="D20" s="90"/>
      <c r="E20" s="135"/>
      <c r="F20" s="90"/>
      <c r="H20" s="136"/>
      <c r="I20" s="90"/>
      <c r="J20" s="137"/>
      <c r="L20" s="198"/>
      <c r="M20" s="138"/>
      <c r="P20" s="229"/>
      <c r="Q20" s="222"/>
    </row>
    <row r="21" spans="1:17" x14ac:dyDescent="0.25">
      <c r="A21" s="147" t="s">
        <v>214</v>
      </c>
      <c r="B21" s="33" t="s">
        <v>215</v>
      </c>
      <c r="C21" s="91">
        <v>3678.36</v>
      </c>
      <c r="D21" s="90">
        <v>4000</v>
      </c>
      <c r="E21" s="135">
        <v>2399.0500000000002</v>
      </c>
      <c r="F21" s="90">
        <v>4000</v>
      </c>
      <c r="H21" s="136"/>
      <c r="I21" s="90">
        <v>6000</v>
      </c>
      <c r="J21" s="137">
        <v>3529.91</v>
      </c>
      <c r="K21" s="90">
        <v>6000</v>
      </c>
      <c r="L21" s="199">
        <v>6000</v>
      </c>
      <c r="M21" s="138"/>
      <c r="N21" s="222">
        <f>L21+(L21*'REVEN&amp;EXP - ALL FUNDS'!$E$5)</f>
        <v>6180</v>
      </c>
      <c r="O21" s="222">
        <v>0</v>
      </c>
      <c r="P21" s="229">
        <f t="shared" si="0"/>
        <v>6365.4</v>
      </c>
      <c r="Q21" s="222"/>
    </row>
    <row r="22" spans="1:17" ht="16.5" thickBot="1" x14ac:dyDescent="0.3">
      <c r="A22" s="147" t="s">
        <v>216</v>
      </c>
      <c r="B22" s="33" t="s">
        <v>217</v>
      </c>
      <c r="C22" s="94">
        <v>18153</v>
      </c>
      <c r="D22" s="123">
        <v>2500</v>
      </c>
      <c r="E22" s="142">
        <v>520.88</v>
      </c>
      <c r="F22" s="123">
        <v>2500</v>
      </c>
      <c r="G22" s="148">
        <v>2500</v>
      </c>
      <c r="H22" s="149">
        <v>2012.37</v>
      </c>
      <c r="I22" s="123">
        <v>2500</v>
      </c>
      <c r="J22" s="144">
        <v>3483.16</v>
      </c>
      <c r="K22" s="123">
        <v>3500</v>
      </c>
      <c r="L22" s="200">
        <v>3500</v>
      </c>
      <c r="M22" s="145"/>
      <c r="N22" s="223">
        <f>L22+(L22*'REVEN&amp;EXP - ALL FUNDS'!$E$5)</f>
        <v>3605</v>
      </c>
      <c r="O22" s="223">
        <v>0</v>
      </c>
      <c r="P22" s="230">
        <v>3500</v>
      </c>
      <c r="Q22" s="222"/>
    </row>
    <row r="23" spans="1:17" x14ac:dyDescent="0.25">
      <c r="A23" s="33"/>
      <c r="B23" s="39" t="s">
        <v>218</v>
      </c>
      <c r="C23" s="91">
        <f>SUM(C21:C22)</f>
        <v>21831.360000000001</v>
      </c>
      <c r="D23" s="91">
        <f>SUM(D21:D22)</f>
        <v>6500</v>
      </c>
      <c r="E23" s="127">
        <f>SUM(E21:E22)</f>
        <v>2919.9300000000003</v>
      </c>
      <c r="F23" s="91">
        <v>6500</v>
      </c>
      <c r="G23" s="69"/>
      <c r="H23" s="127">
        <v>2012.37</v>
      </c>
      <c r="I23" s="91">
        <v>8500</v>
      </c>
      <c r="J23" s="58">
        <f t="shared" ref="J23" si="1">SUM(J21:J22)</f>
        <v>7013.07</v>
      </c>
      <c r="K23" s="91">
        <f t="shared" ref="K23" si="2">SUM(K21:K22)</f>
        <v>9500</v>
      </c>
      <c r="L23" s="201">
        <f t="shared" ref="L23" si="3">SUM(L21:L22)</f>
        <v>9500</v>
      </c>
      <c r="M23" s="146"/>
      <c r="N23" s="225">
        <f t="shared" ref="N23" si="4">SUM(N21:N22)</f>
        <v>9785</v>
      </c>
      <c r="O23" s="225">
        <f>SUM(O21:O22)</f>
        <v>0</v>
      </c>
      <c r="P23" s="229">
        <f>SUM(P21:P22)</f>
        <v>9865.4</v>
      </c>
      <c r="Q23" s="222"/>
    </row>
    <row r="24" spans="1:17" x14ac:dyDescent="0.25">
      <c r="A24" s="33"/>
      <c r="B24" s="33"/>
      <c r="C24" s="91"/>
      <c r="D24" s="90"/>
      <c r="E24" s="135"/>
      <c r="F24" s="91"/>
      <c r="H24" s="136"/>
      <c r="I24" s="90"/>
      <c r="J24" s="137"/>
      <c r="K24" s="90"/>
      <c r="L24" s="199"/>
      <c r="M24" s="138"/>
      <c r="P24" s="229"/>
      <c r="Q24" s="222"/>
    </row>
    <row r="25" spans="1:17" x14ac:dyDescent="0.25">
      <c r="A25" s="89" t="s">
        <v>12</v>
      </c>
      <c r="B25" s="33"/>
      <c r="C25" s="91"/>
      <c r="D25" s="90"/>
      <c r="E25" s="135"/>
      <c r="F25" s="90"/>
      <c r="H25" s="136"/>
      <c r="I25" s="90"/>
      <c r="J25" s="137"/>
      <c r="K25" s="90"/>
      <c r="L25" s="199"/>
      <c r="M25" s="138"/>
      <c r="P25" s="229"/>
      <c r="Q25" s="222"/>
    </row>
    <row r="26" spans="1:17" x14ac:dyDescent="0.25">
      <c r="A26" s="147" t="s">
        <v>219</v>
      </c>
      <c r="B26" s="33" t="s">
        <v>220</v>
      </c>
      <c r="C26" s="91">
        <v>0</v>
      </c>
      <c r="D26" s="90">
        <v>0</v>
      </c>
      <c r="E26" s="135">
        <v>290.33</v>
      </c>
      <c r="F26" s="90">
        <v>300</v>
      </c>
      <c r="H26" s="135"/>
      <c r="I26" s="90">
        <v>300</v>
      </c>
      <c r="J26" s="137">
        <v>0</v>
      </c>
      <c r="K26" s="90">
        <v>300</v>
      </c>
      <c r="L26" s="199">
        <v>300</v>
      </c>
      <c r="M26" s="138"/>
      <c r="N26" s="222">
        <f>L26+(L26*'REVEN&amp;EXP - ALL FUNDS'!$E$5)</f>
        <v>309</v>
      </c>
      <c r="O26" s="222">
        <v>0</v>
      </c>
      <c r="P26" s="229">
        <v>1300</v>
      </c>
      <c r="Q26" s="222"/>
    </row>
    <row r="27" spans="1:17" x14ac:dyDescent="0.25">
      <c r="A27" s="147" t="s">
        <v>221</v>
      </c>
      <c r="B27" s="33" t="s">
        <v>222</v>
      </c>
      <c r="C27" s="91">
        <v>550</v>
      </c>
      <c r="D27" s="90">
        <v>0</v>
      </c>
      <c r="E27" s="135">
        <v>0</v>
      </c>
      <c r="F27" s="90">
        <v>1500</v>
      </c>
      <c r="H27" s="135">
        <v>3175.56</v>
      </c>
      <c r="I27" s="90">
        <v>2000</v>
      </c>
      <c r="J27" s="137">
        <v>1188.18</v>
      </c>
      <c r="K27" s="90">
        <v>2000</v>
      </c>
      <c r="L27" s="199">
        <v>2000</v>
      </c>
      <c r="M27" s="138"/>
      <c r="N27" s="222">
        <f>L27+(L27*'REVEN&amp;EXP - ALL FUNDS'!$E$5)</f>
        <v>2060</v>
      </c>
      <c r="O27" s="222">
        <v>0</v>
      </c>
      <c r="P27" s="229">
        <f t="shared" si="0"/>
        <v>2121.8000000000002</v>
      </c>
      <c r="Q27" s="222"/>
    </row>
    <row r="28" spans="1:17" x14ac:dyDescent="0.25">
      <c r="A28" s="147" t="s">
        <v>223</v>
      </c>
      <c r="B28" s="33" t="s">
        <v>224</v>
      </c>
      <c r="C28" s="91">
        <v>0</v>
      </c>
      <c r="D28" s="90">
        <v>0</v>
      </c>
      <c r="E28" s="135">
        <v>3704.86</v>
      </c>
      <c r="F28" s="90">
        <v>1000</v>
      </c>
      <c r="H28" s="135">
        <v>2422.0700000000002</v>
      </c>
      <c r="I28" s="90">
        <v>1000</v>
      </c>
      <c r="J28" s="137">
        <v>581.55999999999995</v>
      </c>
      <c r="K28" s="90">
        <v>1000</v>
      </c>
      <c r="L28" s="199">
        <v>1000</v>
      </c>
      <c r="M28" s="138"/>
      <c r="N28" s="222">
        <f>L28+(L28*'REVEN&amp;EXP - ALL FUNDS'!$E$5)</f>
        <v>1030</v>
      </c>
      <c r="O28" s="222">
        <v>0</v>
      </c>
      <c r="P28" s="229">
        <v>500</v>
      </c>
      <c r="Q28" s="222"/>
    </row>
    <row r="29" spans="1:17" ht="16.5" thickBot="1" x14ac:dyDescent="0.3">
      <c r="A29" s="147" t="s">
        <v>225</v>
      </c>
      <c r="B29" s="33" t="s">
        <v>226</v>
      </c>
      <c r="C29" s="91">
        <v>0</v>
      </c>
      <c r="D29" s="123">
        <v>0</v>
      </c>
      <c r="E29" s="142">
        <v>0</v>
      </c>
      <c r="F29" s="90">
        <v>2500</v>
      </c>
      <c r="H29" s="135">
        <v>526.25</v>
      </c>
      <c r="I29" s="90">
        <v>2500</v>
      </c>
      <c r="J29" s="137">
        <v>591</v>
      </c>
      <c r="K29" s="90">
        <v>1500</v>
      </c>
      <c r="L29" s="199">
        <v>1500</v>
      </c>
      <c r="M29" s="138"/>
      <c r="N29" s="222">
        <f>L29+(L29*'REVEN&amp;EXP - ALL FUNDS'!$E$5)</f>
        <v>1545</v>
      </c>
      <c r="O29" s="222">
        <v>0</v>
      </c>
      <c r="P29" s="229">
        <f t="shared" si="0"/>
        <v>1591.35</v>
      </c>
      <c r="Q29" s="222"/>
    </row>
    <row r="30" spans="1:17" x14ac:dyDescent="0.25">
      <c r="A30" s="147" t="s">
        <v>623</v>
      </c>
      <c r="B30" s="33" t="s">
        <v>351</v>
      </c>
      <c r="C30" s="91"/>
      <c r="D30" s="90"/>
      <c r="E30" s="135"/>
      <c r="F30" s="90"/>
      <c r="H30" s="136"/>
      <c r="I30" s="90"/>
      <c r="J30" s="137"/>
      <c r="K30" s="90">
        <v>980</v>
      </c>
      <c r="L30" s="199">
        <v>980</v>
      </c>
      <c r="M30" s="138"/>
      <c r="N30" s="222">
        <f>L30+(L30*'REVEN&amp;EXP - ALL FUNDS'!$E$5)</f>
        <v>1009.4</v>
      </c>
      <c r="O30" s="222">
        <v>0</v>
      </c>
      <c r="P30" s="229">
        <v>500</v>
      </c>
      <c r="Q30" s="222"/>
    </row>
    <row r="31" spans="1:17" ht="16.5" thickBot="1" x14ac:dyDescent="0.3">
      <c r="A31" s="147" t="s">
        <v>589</v>
      </c>
      <c r="B31" s="33" t="s">
        <v>590</v>
      </c>
      <c r="C31" s="91"/>
      <c r="D31" s="90"/>
      <c r="E31" s="135"/>
      <c r="F31" s="123"/>
      <c r="G31" s="143"/>
      <c r="H31" s="142">
        <v>65000</v>
      </c>
      <c r="I31" s="123"/>
      <c r="J31" s="144"/>
      <c r="K31" s="123">
        <v>0</v>
      </c>
      <c r="L31" s="200">
        <v>0</v>
      </c>
      <c r="M31" s="145"/>
      <c r="N31" s="223">
        <f>L31+(L31*'REVEN&amp;EXP - ALL FUNDS'!$E$5)</f>
        <v>0</v>
      </c>
      <c r="O31" s="223">
        <v>0</v>
      </c>
      <c r="P31" s="230">
        <f t="shared" si="0"/>
        <v>0</v>
      </c>
      <c r="Q31" s="222"/>
    </row>
    <row r="32" spans="1:17" x14ac:dyDescent="0.25">
      <c r="A32" s="277" t="s">
        <v>227</v>
      </c>
      <c r="B32" s="277"/>
      <c r="C32" s="91">
        <f>SUM(C26:C29)</f>
        <v>550</v>
      </c>
      <c r="D32" s="91">
        <f>SUM(D26:D29)</f>
        <v>0</v>
      </c>
      <c r="E32" s="127">
        <f>SUM(E26:E29)</f>
        <v>3995.19</v>
      </c>
      <c r="F32" s="91">
        <v>5300</v>
      </c>
      <c r="G32" s="69"/>
      <c r="H32" s="127">
        <v>71123.88</v>
      </c>
      <c r="I32" s="91">
        <v>5800</v>
      </c>
      <c r="J32" s="58">
        <f>SUM(J26:J31)</f>
        <v>2360.7399999999998</v>
      </c>
      <c r="K32" s="91">
        <f t="shared" ref="K32" si="5">SUM(K26:K31)</f>
        <v>5780</v>
      </c>
      <c r="L32" s="201">
        <f t="shared" ref="L32" si="6">SUM(L26:L31)</f>
        <v>5780</v>
      </c>
      <c r="M32" s="146"/>
      <c r="N32" s="225">
        <f t="shared" ref="N32" si="7">SUM(N26:N31)</f>
        <v>5953.4</v>
      </c>
      <c r="O32" s="225">
        <f>SUM(O26:O31)</f>
        <v>0</v>
      </c>
      <c r="P32" s="229">
        <f>SUM(P26:P31)</f>
        <v>6013.15</v>
      </c>
      <c r="Q32" s="222"/>
    </row>
    <row r="33" spans="1:17" x14ac:dyDescent="0.25">
      <c r="A33" s="33"/>
      <c r="B33" s="33"/>
      <c r="C33" s="91"/>
      <c r="D33" s="90"/>
      <c r="E33" s="135"/>
      <c r="F33" s="90"/>
      <c r="H33" s="136"/>
      <c r="I33" s="90"/>
      <c r="J33" s="137"/>
      <c r="K33" s="90"/>
      <c r="L33" s="199"/>
      <c r="M33" s="138"/>
      <c r="P33" s="228"/>
    </row>
    <row r="34" spans="1:17" ht="16.5" hidden="1" thickBot="1" x14ac:dyDescent="0.3">
      <c r="A34" s="79" t="s">
        <v>13</v>
      </c>
      <c r="B34" s="33"/>
      <c r="C34" s="33"/>
      <c r="D34" s="90"/>
      <c r="E34" s="135"/>
      <c r="F34" s="90"/>
      <c r="H34" s="136"/>
      <c r="I34" s="90"/>
      <c r="J34" s="137"/>
      <c r="K34" s="90"/>
      <c r="L34" s="199"/>
      <c r="M34" s="138"/>
      <c r="P34" s="228"/>
    </row>
    <row r="35" spans="1:17" hidden="1" x14ac:dyDescent="0.25">
      <c r="A35" s="150" t="s">
        <v>228</v>
      </c>
      <c r="B35" s="57" t="s">
        <v>229</v>
      </c>
      <c r="C35" s="127">
        <v>0</v>
      </c>
      <c r="D35" s="135"/>
      <c r="E35" s="135"/>
      <c r="F35" s="135"/>
      <c r="G35" s="136"/>
      <c r="H35" s="136"/>
      <c r="I35" s="135">
        <v>0</v>
      </c>
      <c r="J35" s="137">
        <v>0</v>
      </c>
      <c r="K35" s="135">
        <v>0</v>
      </c>
      <c r="L35" s="199">
        <v>0</v>
      </c>
      <c r="M35" s="138"/>
      <c r="P35" s="228"/>
    </row>
    <row r="36" spans="1:17" hidden="1" x14ac:dyDescent="0.25">
      <c r="A36" s="150" t="s">
        <v>230</v>
      </c>
      <c r="B36" s="57" t="s">
        <v>231</v>
      </c>
      <c r="C36" s="127">
        <v>0</v>
      </c>
      <c r="D36" s="135"/>
      <c r="E36" s="135"/>
      <c r="F36" s="135"/>
      <c r="G36" s="136"/>
      <c r="H36" s="136"/>
      <c r="I36" s="135">
        <v>0</v>
      </c>
      <c r="J36" s="137">
        <v>0</v>
      </c>
      <c r="K36" s="135">
        <v>0</v>
      </c>
      <c r="L36" s="199">
        <v>0</v>
      </c>
      <c r="M36" s="138"/>
      <c r="P36" s="228"/>
    </row>
    <row r="37" spans="1:17" hidden="1" x14ac:dyDescent="0.25">
      <c r="A37" s="150" t="s">
        <v>232</v>
      </c>
      <c r="B37" s="57" t="s">
        <v>233</v>
      </c>
      <c r="C37" s="127">
        <v>258</v>
      </c>
      <c r="D37" s="135"/>
      <c r="E37" s="135"/>
      <c r="F37" s="135"/>
      <c r="G37" s="136"/>
      <c r="H37" s="136"/>
      <c r="I37" s="135">
        <v>0</v>
      </c>
      <c r="J37" s="137">
        <v>0</v>
      </c>
      <c r="K37" s="135">
        <v>0</v>
      </c>
      <c r="L37" s="199">
        <v>0</v>
      </c>
      <c r="M37" s="138"/>
      <c r="P37" s="228"/>
    </row>
    <row r="38" spans="1:17" ht="16.5" hidden="1" thickBot="1" x14ac:dyDescent="0.3">
      <c r="A38" s="150" t="s">
        <v>234</v>
      </c>
      <c r="B38" s="57" t="s">
        <v>235</v>
      </c>
      <c r="C38" s="151">
        <v>1618</v>
      </c>
      <c r="D38" s="142"/>
      <c r="E38" s="142"/>
      <c r="F38" s="142"/>
      <c r="G38" s="136"/>
      <c r="H38" s="136"/>
      <c r="I38" s="142">
        <v>0</v>
      </c>
      <c r="J38" s="144">
        <v>0</v>
      </c>
      <c r="K38" s="142">
        <v>0</v>
      </c>
      <c r="L38" s="200">
        <v>0</v>
      </c>
      <c r="M38" s="145"/>
      <c r="P38" s="228"/>
    </row>
    <row r="39" spans="1:17" hidden="1" x14ac:dyDescent="0.25">
      <c r="A39" s="33"/>
      <c r="B39" s="53" t="s">
        <v>236</v>
      </c>
      <c r="C39" s="91">
        <f>SUM(C35:C38)</f>
        <v>1876</v>
      </c>
      <c r="D39" s="90">
        <f t="shared" ref="D39" si="8">SUM(D35:D38)</f>
        <v>0</v>
      </c>
      <c r="E39" s="135"/>
      <c r="F39" s="90">
        <v>0</v>
      </c>
      <c r="H39" s="136"/>
      <c r="I39" s="90">
        <v>0</v>
      </c>
      <c r="J39" s="137">
        <f t="shared" ref="J39" si="9">SUM(J35:J38)</f>
        <v>0</v>
      </c>
      <c r="K39" s="90">
        <f t="shared" ref="K39" si="10">SUM(K35:K38)</f>
        <v>0</v>
      </c>
      <c r="L39" s="199">
        <f t="shared" ref="L39" si="11">SUM(L35:L38)</f>
        <v>0</v>
      </c>
      <c r="M39" s="138"/>
      <c r="P39" s="228"/>
    </row>
    <row r="40" spans="1:17" hidden="1" x14ac:dyDescent="0.25">
      <c r="A40" s="33"/>
      <c r="B40" s="53"/>
      <c r="C40" s="91"/>
      <c r="D40" s="90"/>
      <c r="E40" s="135"/>
      <c r="F40" s="90"/>
      <c r="H40" s="136"/>
      <c r="I40" s="90"/>
      <c r="J40" s="137"/>
      <c r="K40" s="90"/>
      <c r="L40" s="199"/>
      <c r="M40" s="138"/>
      <c r="P40" s="228"/>
    </row>
    <row r="41" spans="1:17" hidden="1" x14ac:dyDescent="0.25">
      <c r="A41" s="89" t="s">
        <v>14</v>
      </c>
      <c r="B41" s="53"/>
      <c r="C41" s="91"/>
      <c r="D41" s="90"/>
      <c r="E41" s="135"/>
      <c r="F41" s="90"/>
      <c r="H41" s="136"/>
      <c r="I41" s="90"/>
      <c r="J41" s="137"/>
      <c r="K41" s="90"/>
      <c r="L41" s="199"/>
      <c r="M41" s="138"/>
      <c r="P41" s="228"/>
    </row>
    <row r="42" spans="1:17" hidden="1" x14ac:dyDescent="0.25">
      <c r="A42" s="150" t="s">
        <v>237</v>
      </c>
      <c r="B42" s="152" t="s">
        <v>238</v>
      </c>
      <c r="C42" s="127">
        <v>3476</v>
      </c>
      <c r="D42" s="135"/>
      <c r="E42" s="135"/>
      <c r="F42" s="135"/>
      <c r="G42" s="136"/>
      <c r="H42" s="136"/>
      <c r="I42" s="135">
        <v>0</v>
      </c>
      <c r="J42" s="137">
        <v>0</v>
      </c>
      <c r="K42" s="135">
        <v>0</v>
      </c>
      <c r="L42" s="199">
        <v>0</v>
      </c>
      <c r="M42" s="138"/>
      <c r="P42" s="228"/>
    </row>
    <row r="43" spans="1:17" ht="16.5" hidden="1" thickBot="1" x14ac:dyDescent="0.3">
      <c r="A43" s="150" t="s">
        <v>239</v>
      </c>
      <c r="B43" s="57" t="s">
        <v>240</v>
      </c>
      <c r="C43" s="151">
        <v>3806</v>
      </c>
      <c r="D43" s="142"/>
      <c r="E43" s="142"/>
      <c r="F43" s="142"/>
      <c r="G43" s="136"/>
      <c r="H43" s="136"/>
      <c r="I43" s="142">
        <v>0</v>
      </c>
      <c r="J43" s="144">
        <v>0</v>
      </c>
      <c r="K43" s="142">
        <v>0</v>
      </c>
      <c r="L43" s="200">
        <v>0</v>
      </c>
      <c r="M43" s="145"/>
      <c r="P43" s="228"/>
    </row>
    <row r="44" spans="1:17" hidden="1" x14ac:dyDescent="0.25">
      <c r="A44" s="33"/>
      <c r="B44" s="33" t="s">
        <v>241</v>
      </c>
      <c r="C44" s="91">
        <f>SUM(C42:C43)</f>
        <v>7282</v>
      </c>
      <c r="D44" s="90">
        <f t="shared" ref="D44" si="12">SUM(D42:D43)</f>
        <v>0</v>
      </c>
      <c r="E44" s="135"/>
      <c r="F44" s="90">
        <v>0</v>
      </c>
      <c r="H44" s="136"/>
      <c r="I44" s="90">
        <v>0</v>
      </c>
      <c r="J44" s="137">
        <f t="shared" ref="J44" si="13">SUM(J42:J43)</f>
        <v>0</v>
      </c>
      <c r="K44" s="90">
        <f t="shared" ref="K44" si="14">SUM(K42:K43)</f>
        <v>0</v>
      </c>
      <c r="L44" s="199">
        <f t="shared" ref="L44" si="15">SUM(L42:L43)</f>
        <v>0</v>
      </c>
      <c r="M44" s="138"/>
      <c r="P44" s="228"/>
    </row>
    <row r="45" spans="1:17" x14ac:dyDescent="0.25">
      <c r="A45" s="33"/>
      <c r="B45" s="33"/>
      <c r="C45" s="91"/>
      <c r="D45" s="90"/>
      <c r="E45" s="135"/>
      <c r="F45" s="90"/>
      <c r="H45" s="136"/>
      <c r="I45" s="90"/>
      <c r="J45" s="137"/>
      <c r="K45" s="90"/>
      <c r="L45" s="199"/>
      <c r="M45" s="138"/>
      <c r="P45" s="228"/>
    </row>
    <row r="46" spans="1:17" x14ac:dyDescent="0.25">
      <c r="B46" s="153" t="s">
        <v>242</v>
      </c>
      <c r="C46" s="107">
        <f>C18+C23+C32+C39+C44</f>
        <v>96835.13</v>
      </c>
      <c r="D46" s="107">
        <f>D18+D23+D32+D39+D44</f>
        <v>63033</v>
      </c>
      <c r="E46" s="55">
        <f>E18+E23+E32+E39+E44</f>
        <v>6915.1200000000008</v>
      </c>
      <c r="F46" s="107">
        <v>75384.320000000007</v>
      </c>
      <c r="G46" s="69"/>
      <c r="H46" s="55">
        <v>145983.88</v>
      </c>
      <c r="I46" s="107">
        <v>88359.14</v>
      </c>
      <c r="J46" s="56">
        <f>J18+J23+J32</f>
        <v>63821.22</v>
      </c>
      <c r="K46" s="107">
        <f t="shared" ref="K46" si="16">K18+K23+K32</f>
        <v>88216.98</v>
      </c>
      <c r="L46" s="202">
        <f t="shared" ref="L46" si="17">L18+L23+L32</f>
        <v>88216.98</v>
      </c>
      <c r="M46" s="154"/>
      <c r="N46" s="240">
        <f>N18+N23+N32</f>
        <v>88488.594700000001</v>
      </c>
      <c r="O46" s="240">
        <f t="shared" ref="O46:P46" si="18">O18+O23+O32</f>
        <v>0</v>
      </c>
      <c r="P46" s="243">
        <f t="shared" si="18"/>
        <v>91404.650540999995</v>
      </c>
      <c r="Q46" s="225"/>
    </row>
    <row r="47" spans="1:17" x14ac:dyDescent="0.25">
      <c r="B47" s="53"/>
      <c r="C47" s="54"/>
      <c r="D47" s="155"/>
      <c r="E47" s="155"/>
      <c r="F47" s="155"/>
      <c r="I47" s="155"/>
      <c r="M47" s="155"/>
    </row>
    <row r="48" spans="1:17" hidden="1" x14ac:dyDescent="0.25">
      <c r="A48" s="156" t="s">
        <v>243</v>
      </c>
    </row>
    <row r="49" spans="1:17" ht="108" hidden="1" customHeight="1" x14ac:dyDescent="0.25">
      <c r="A49" s="279" t="s">
        <v>244</v>
      </c>
      <c r="B49" s="279"/>
      <c r="C49" s="279"/>
      <c r="D49" s="279"/>
      <c r="E49" s="279"/>
      <c r="F49" s="279"/>
    </row>
    <row r="50" spans="1:17" hidden="1" x14ac:dyDescent="0.25"/>
    <row r="51" spans="1:17" hidden="1" x14ac:dyDescent="0.25">
      <c r="A51" s="184"/>
      <c r="B51" s="184" t="s">
        <v>660</v>
      </c>
      <c r="C51" s="184"/>
      <c r="D51" s="185"/>
      <c r="E51" s="185"/>
      <c r="F51" s="185"/>
      <c r="G51" s="185"/>
      <c r="H51" s="185"/>
      <c r="I51" s="182"/>
    </row>
    <row r="52" spans="1:17" hidden="1" x14ac:dyDescent="0.25"/>
    <row r="53" spans="1:17" hidden="1" x14ac:dyDescent="0.25">
      <c r="A53" s="34" t="s">
        <v>647</v>
      </c>
    </row>
    <row r="58" spans="1:17" x14ac:dyDescent="0.25">
      <c r="N58" s="183"/>
      <c r="O58" s="183"/>
      <c r="P58" s="183"/>
      <c r="Q58" s="183"/>
    </row>
    <row r="97" ht="15" customHeight="1" x14ac:dyDescent="0.25"/>
  </sheetData>
  <mergeCells count="3">
    <mergeCell ref="A18:B18"/>
    <mergeCell ref="A32:B32"/>
    <mergeCell ref="A49:F49"/>
  </mergeCells>
  <pageMargins left="0.7" right="0.7" top="0.75" bottom="0.75" header="0.3" footer="0.3"/>
  <pageSetup paperSiz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P42"/>
  <sheetViews>
    <sheetView zoomScale="90" zoomScaleNormal="90" workbookViewId="0">
      <selection activeCell="O44" sqref="O44"/>
    </sheetView>
  </sheetViews>
  <sheetFormatPr defaultColWidth="9.140625" defaultRowHeight="15.75" x14ac:dyDescent="0.25"/>
  <cols>
    <col min="1" max="1" width="11.28515625" style="34" customWidth="1"/>
    <col min="2" max="2" width="43.28515625" style="34" customWidth="1"/>
    <col min="3" max="3" width="12.28515625" style="34" hidden="1" customWidth="1"/>
    <col min="4" max="5" width="11.28515625" style="34" hidden="1" customWidth="1"/>
    <col min="6" max="6" width="17.28515625" style="34" hidden="1" customWidth="1"/>
    <col min="7" max="8" width="14.7109375" style="34" hidden="1" customWidth="1"/>
    <col min="9" max="9" width="14.42578125" style="34" hidden="1" customWidth="1"/>
    <col min="10" max="11" width="11.28515625" style="34" hidden="1" customWidth="1"/>
    <col min="12" max="12" width="3.140625" style="34" hidden="1" customWidth="1"/>
    <col min="13" max="13" width="13.42578125" style="34" customWidth="1"/>
    <col min="14" max="14" width="12.5703125" style="34" customWidth="1"/>
    <col min="15" max="15" width="14.140625" style="34" customWidth="1"/>
    <col min="16" max="16384" width="9.140625" style="34"/>
  </cols>
  <sheetData>
    <row r="1" spans="1:16" x14ac:dyDescent="0.25">
      <c r="A1" s="32" t="s">
        <v>563</v>
      </c>
      <c r="B1" s="32"/>
      <c r="C1" s="32"/>
      <c r="D1" s="32"/>
      <c r="E1" s="32"/>
      <c r="F1" s="32"/>
      <c r="G1" s="32"/>
      <c r="H1" s="32"/>
    </row>
    <row r="2" spans="1:16" x14ac:dyDescent="0.25">
      <c r="A2" s="32" t="s">
        <v>564</v>
      </c>
      <c r="B2" s="32"/>
      <c r="C2" s="32"/>
      <c r="D2" s="32"/>
      <c r="E2" s="32"/>
      <c r="F2" s="32"/>
      <c r="G2" s="32"/>
      <c r="H2" s="32"/>
    </row>
    <row r="3" spans="1:16" x14ac:dyDescent="0.25">
      <c r="A3" s="32" t="str">
        <f>+'GF - SECRETARY'!A3</f>
        <v>FISCAL YEAR 2023-2024</v>
      </c>
      <c r="B3" s="32"/>
      <c r="C3" s="32"/>
      <c r="D3" s="32"/>
      <c r="E3" s="32"/>
      <c r="F3" s="32"/>
      <c r="G3" s="32"/>
      <c r="H3" s="32"/>
    </row>
    <row r="5" spans="1:16" s="40" customFormat="1" ht="79.5" customHeight="1" thickBot="1" x14ac:dyDescent="0.3">
      <c r="A5" s="79" t="s">
        <v>690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">
        <v>670</v>
      </c>
      <c r="K5" s="197" t="s">
        <v>671</v>
      </c>
      <c r="L5" s="157"/>
      <c r="M5" s="120" t="s">
        <v>703</v>
      </c>
      <c r="N5" s="37" t="s">
        <v>687</v>
      </c>
      <c r="O5" s="227" t="s">
        <v>685</v>
      </c>
      <c r="P5" s="39"/>
    </row>
    <row r="6" spans="1:16" hidden="1" x14ac:dyDescent="0.25">
      <c r="A6" s="33"/>
      <c r="B6" s="33"/>
      <c r="C6" s="33"/>
      <c r="D6" s="33"/>
      <c r="E6" s="57"/>
      <c r="G6" s="59"/>
      <c r="I6" s="71"/>
      <c r="K6" s="198"/>
      <c r="L6" s="158"/>
      <c r="N6" s="33"/>
      <c r="O6" s="232"/>
      <c r="P6" s="33"/>
    </row>
    <row r="7" spans="1:16" hidden="1" x14ac:dyDescent="0.25">
      <c r="A7" s="39" t="s">
        <v>195</v>
      </c>
      <c r="B7" s="33"/>
      <c r="C7" s="33"/>
      <c r="D7" s="33"/>
      <c r="E7" s="57"/>
      <c r="G7" s="59"/>
      <c r="I7" s="71"/>
      <c r="K7" s="198"/>
      <c r="L7" s="158"/>
      <c r="N7" s="33"/>
      <c r="O7" s="232"/>
      <c r="P7" s="33"/>
    </row>
    <row r="8" spans="1:16" hidden="1" x14ac:dyDescent="0.25">
      <c r="A8" s="139" t="s">
        <v>245</v>
      </c>
      <c r="B8" s="106" t="s">
        <v>246</v>
      </c>
      <c r="C8" s="33"/>
      <c r="D8" s="33"/>
      <c r="E8" s="57"/>
      <c r="G8" s="59"/>
      <c r="I8" s="71"/>
      <c r="K8" s="198"/>
      <c r="L8" s="158"/>
      <c r="N8" s="33"/>
      <c r="O8" s="232"/>
      <c r="P8" s="33"/>
    </row>
    <row r="9" spans="1:16" hidden="1" x14ac:dyDescent="0.25">
      <c r="A9" s="33"/>
      <c r="B9" s="33"/>
      <c r="C9" s="33"/>
      <c r="D9" s="33"/>
      <c r="E9" s="57"/>
      <c r="G9" s="136"/>
      <c r="H9" s="116"/>
      <c r="I9" s="71"/>
      <c r="K9" s="198"/>
      <c r="L9" s="158"/>
      <c r="N9" s="33"/>
      <c r="O9" s="232"/>
      <c r="P9" s="33"/>
    </row>
    <row r="10" spans="1:16" x14ac:dyDescent="0.25">
      <c r="A10" s="89" t="s">
        <v>198</v>
      </c>
      <c r="B10" s="33"/>
      <c r="C10" s="33"/>
      <c r="D10" s="33"/>
      <c r="E10" s="57"/>
      <c r="G10" s="59"/>
      <c r="I10" s="71"/>
      <c r="K10" s="198"/>
      <c r="L10" s="158"/>
      <c r="N10" s="33"/>
      <c r="O10" s="232"/>
      <c r="P10" s="33"/>
    </row>
    <row r="11" spans="1:16" x14ac:dyDescent="0.25">
      <c r="A11" s="33" t="s">
        <v>247</v>
      </c>
      <c r="B11" s="33" t="s">
        <v>200</v>
      </c>
      <c r="C11" s="91">
        <v>23365.87</v>
      </c>
      <c r="D11" s="90">
        <v>25000</v>
      </c>
      <c r="E11" s="135">
        <v>0</v>
      </c>
      <c r="F11" s="90">
        <v>18720</v>
      </c>
      <c r="G11" s="135">
        <v>20600.22</v>
      </c>
      <c r="H11" s="90">
        <v>22360</v>
      </c>
      <c r="I11" s="137">
        <v>15861</v>
      </c>
      <c r="J11" s="90">
        <v>22807</v>
      </c>
      <c r="K11" s="199">
        <v>22807</v>
      </c>
      <c r="L11" s="158"/>
      <c r="M11" s="222">
        <f>K11+(K11*'REVEN&amp;EXP - ALL FUNDS'!$E$6)</f>
        <v>23719.279999999999</v>
      </c>
      <c r="N11" s="222">
        <v>0</v>
      </c>
      <c r="O11" s="229">
        <f t="shared" ref="O11:O34" si="0">(M11*3%)+M11</f>
        <v>24430.858399999997</v>
      </c>
      <c r="P11" s="33"/>
    </row>
    <row r="12" spans="1:16" hidden="1" x14ac:dyDescent="0.25">
      <c r="A12" s="33"/>
      <c r="B12" s="33" t="s">
        <v>641</v>
      </c>
      <c r="C12" s="91"/>
      <c r="D12" s="90"/>
      <c r="E12" s="135"/>
      <c r="F12" s="90"/>
      <c r="G12" s="135"/>
      <c r="H12" s="90"/>
      <c r="I12" s="137"/>
      <c r="J12" s="90"/>
      <c r="K12" s="199"/>
      <c r="L12" s="158"/>
      <c r="M12" s="244"/>
      <c r="N12" s="222"/>
      <c r="O12" s="229">
        <f t="shared" si="0"/>
        <v>0</v>
      </c>
      <c r="P12" s="33"/>
    </row>
    <row r="13" spans="1:16" x14ac:dyDescent="0.25">
      <c r="A13" s="33" t="s">
        <v>248</v>
      </c>
      <c r="B13" s="33" t="s">
        <v>249</v>
      </c>
      <c r="C13" s="91">
        <v>2235.56</v>
      </c>
      <c r="D13" s="90">
        <v>0</v>
      </c>
      <c r="E13" s="135">
        <v>0</v>
      </c>
      <c r="F13" s="90">
        <v>0</v>
      </c>
      <c r="G13" s="135">
        <v>903.67</v>
      </c>
      <c r="H13" s="90">
        <v>500</v>
      </c>
      <c r="I13" s="137">
        <v>514.91</v>
      </c>
      <c r="J13" s="90">
        <v>500</v>
      </c>
      <c r="K13" s="199">
        <v>500</v>
      </c>
      <c r="L13" s="158"/>
      <c r="M13" s="222">
        <f>K13+(K13*'REVEN&amp;EXP - ALL FUNDS'!$E$5)</f>
        <v>515</v>
      </c>
      <c r="N13" s="222">
        <v>0</v>
      </c>
      <c r="O13" s="229">
        <f t="shared" si="0"/>
        <v>530.45000000000005</v>
      </c>
      <c r="P13" s="33"/>
    </row>
    <row r="14" spans="1:16" x14ac:dyDescent="0.25">
      <c r="A14" s="33" t="s">
        <v>250</v>
      </c>
      <c r="B14" s="33" t="s">
        <v>202</v>
      </c>
      <c r="C14" s="91">
        <f>((10.75+0.88)*12)/2</f>
        <v>69.78</v>
      </c>
      <c r="D14" s="90">
        <v>70</v>
      </c>
      <c r="E14" s="135">
        <v>0</v>
      </c>
      <c r="F14" s="90">
        <v>75</v>
      </c>
      <c r="G14" s="135">
        <v>11.48</v>
      </c>
      <c r="H14" s="90">
        <v>75</v>
      </c>
      <c r="I14" s="137">
        <v>26.37</v>
      </c>
      <c r="J14" s="90">
        <v>35.49</v>
      </c>
      <c r="K14" s="199">
        <v>35.49</v>
      </c>
      <c r="L14" s="158"/>
      <c r="M14" s="222">
        <f>K14+(K14*'REVEN&amp;EXP - ALL FUNDS'!$E$5)</f>
        <v>36.554700000000004</v>
      </c>
      <c r="N14" s="222">
        <v>0</v>
      </c>
      <c r="O14" s="229">
        <f t="shared" si="0"/>
        <v>37.651341000000002</v>
      </c>
      <c r="P14" s="33"/>
    </row>
    <row r="15" spans="1:16" x14ac:dyDescent="0.25">
      <c r="A15" s="33" t="s">
        <v>251</v>
      </c>
      <c r="B15" s="33" t="s">
        <v>204</v>
      </c>
      <c r="C15" s="91">
        <v>0</v>
      </c>
      <c r="D15" s="90">
        <v>0</v>
      </c>
      <c r="E15" s="135">
        <v>0</v>
      </c>
      <c r="F15" s="90">
        <v>400</v>
      </c>
      <c r="G15" s="135">
        <v>307.68</v>
      </c>
      <c r="H15" s="90">
        <v>331.47</v>
      </c>
      <c r="I15" s="137">
        <v>455.37</v>
      </c>
      <c r="J15" s="90">
        <v>338.49</v>
      </c>
      <c r="K15" s="199">
        <v>338.49</v>
      </c>
      <c r="L15" s="158"/>
      <c r="M15" s="222">
        <f>K15+(K15*'REVEN&amp;EXP - ALL FUNDS'!$E$5)</f>
        <v>348.6447</v>
      </c>
      <c r="N15" s="222">
        <v>0</v>
      </c>
      <c r="O15" s="229">
        <f t="shared" si="0"/>
        <v>359.104041</v>
      </c>
      <c r="P15" s="33"/>
    </row>
    <row r="16" spans="1:16" x14ac:dyDescent="0.25">
      <c r="A16" s="33" t="s">
        <v>253</v>
      </c>
      <c r="B16" s="33" t="s">
        <v>208</v>
      </c>
      <c r="C16" s="91">
        <f>(C10+C11)*6.25%</f>
        <v>1460.3668749999999</v>
      </c>
      <c r="D16" s="90">
        <v>0</v>
      </c>
      <c r="E16" s="135">
        <v>0</v>
      </c>
      <c r="F16" s="90">
        <v>1044.576</v>
      </c>
      <c r="G16" s="135">
        <v>1070.22</v>
      </c>
      <c r="H16" s="90">
        <v>1276</v>
      </c>
      <c r="I16" s="137">
        <v>1149.29</v>
      </c>
      <c r="J16" s="90">
        <v>1151</v>
      </c>
      <c r="K16" s="199">
        <v>1151</v>
      </c>
      <c r="L16" s="158"/>
      <c r="M16" s="222">
        <f>K16+(K16*'REVEN&amp;EXP - ALL FUNDS'!$E$5)</f>
        <v>1185.53</v>
      </c>
      <c r="N16" s="222">
        <v>0</v>
      </c>
      <c r="O16" s="229">
        <f t="shared" si="0"/>
        <v>1221.0959</v>
      </c>
      <c r="P16" s="33"/>
    </row>
    <row r="17" spans="1:16" x14ac:dyDescent="0.25">
      <c r="A17" s="33" t="s">
        <v>254</v>
      </c>
      <c r="B17" s="33" t="s">
        <v>210</v>
      </c>
      <c r="C17" s="91">
        <f>(728.72*12)/2</f>
        <v>4372.32</v>
      </c>
      <c r="D17" s="90">
        <f>(766.58*12)/2</f>
        <v>4599.4800000000005</v>
      </c>
      <c r="E17" s="135">
        <v>0</v>
      </c>
      <c r="F17" s="90">
        <v>4599</v>
      </c>
      <c r="G17" s="135">
        <v>1543.15</v>
      </c>
      <c r="H17" s="90">
        <v>4678</v>
      </c>
      <c r="I17" s="137">
        <v>3508.74</v>
      </c>
      <c r="J17" s="90">
        <v>4771</v>
      </c>
      <c r="K17" s="199">
        <v>4771</v>
      </c>
      <c r="L17" s="158"/>
      <c r="M17" s="222">
        <f>K17+(K17*'REVEN&amp;EXP - ALL FUNDS'!$E$5)</f>
        <v>4914.13</v>
      </c>
      <c r="N17" s="222">
        <v>0</v>
      </c>
      <c r="O17" s="229">
        <v>5364</v>
      </c>
      <c r="P17" s="33"/>
    </row>
    <row r="18" spans="1:16" x14ac:dyDescent="0.25">
      <c r="A18" s="33" t="s">
        <v>255</v>
      </c>
      <c r="B18" s="33" t="s">
        <v>212</v>
      </c>
      <c r="C18" s="91">
        <v>0</v>
      </c>
      <c r="D18" s="90">
        <v>0</v>
      </c>
      <c r="E18" s="135">
        <v>0</v>
      </c>
      <c r="F18" s="90">
        <v>0</v>
      </c>
      <c r="G18" s="135"/>
      <c r="H18" s="90">
        <v>1143</v>
      </c>
      <c r="I18" s="137">
        <v>109.48</v>
      </c>
      <c r="J18" s="90">
        <v>109</v>
      </c>
      <c r="K18" s="199">
        <v>109</v>
      </c>
      <c r="L18" s="158"/>
      <c r="M18" s="222">
        <f>K18+(K18*'REVEN&amp;EXP - ALL FUNDS'!$E$5)</f>
        <v>112.27</v>
      </c>
      <c r="N18" s="222">
        <v>0</v>
      </c>
      <c r="O18" s="229">
        <f t="shared" si="0"/>
        <v>115.63809999999999</v>
      </c>
      <c r="P18" s="33"/>
    </row>
    <row r="19" spans="1:16" ht="16.5" thickBot="1" x14ac:dyDescent="0.3">
      <c r="A19" s="33" t="s">
        <v>252</v>
      </c>
      <c r="B19" s="33" t="s">
        <v>206</v>
      </c>
      <c r="C19" s="94"/>
      <c r="D19" s="123">
        <v>0</v>
      </c>
      <c r="E19" s="142">
        <v>0</v>
      </c>
      <c r="F19" s="123">
        <v>0</v>
      </c>
      <c r="G19" s="142">
        <v>0</v>
      </c>
      <c r="H19" s="123">
        <v>1386.32</v>
      </c>
      <c r="I19" s="144">
        <v>526.4</v>
      </c>
      <c r="J19" s="123">
        <v>1445</v>
      </c>
      <c r="K19" s="200">
        <v>1445</v>
      </c>
      <c r="L19" s="158"/>
      <c r="M19" s="223">
        <f>K19+(K19*'REVEN&amp;EXP - ALL FUNDS'!$E$5)</f>
        <v>1488.35</v>
      </c>
      <c r="N19" s="223">
        <v>0</v>
      </c>
      <c r="O19" s="230">
        <f t="shared" si="0"/>
        <v>1533.0004999999999</v>
      </c>
      <c r="P19" s="33"/>
    </row>
    <row r="20" spans="1:16" x14ac:dyDescent="0.25">
      <c r="A20" s="277" t="s">
        <v>213</v>
      </c>
      <c r="B20" s="277"/>
      <c r="C20" s="91">
        <f>SUM(C11:C19)</f>
        <v>31503.896874999999</v>
      </c>
      <c r="D20" s="91">
        <f>SUM(D11:D19)</f>
        <v>29669.48</v>
      </c>
      <c r="E20" s="127"/>
      <c r="F20" s="91">
        <v>24838.576000000001</v>
      </c>
      <c r="G20" s="127">
        <v>24436.420000000002</v>
      </c>
      <c r="H20" s="91">
        <v>31749.79</v>
      </c>
      <c r="I20" s="58">
        <f>SUM(I11:I19)</f>
        <v>22151.56</v>
      </c>
      <c r="J20" s="90">
        <f>SUM(J11:J19)</f>
        <v>31156.980000000003</v>
      </c>
      <c r="K20" s="199">
        <f>SUM(K11:K19)</f>
        <v>31156.980000000003</v>
      </c>
      <c r="L20" s="158"/>
      <c r="M20" s="225">
        <f>SUM(M11:M19)</f>
        <v>32319.759399999999</v>
      </c>
      <c r="N20" s="225">
        <f>SUM(N11:N19)</f>
        <v>0</v>
      </c>
      <c r="O20" s="231">
        <f>SUM(O11:O19)</f>
        <v>33591.798281999996</v>
      </c>
      <c r="P20" s="33"/>
    </row>
    <row r="21" spans="1:16" x14ac:dyDescent="0.25">
      <c r="A21" s="33"/>
      <c r="B21" s="33"/>
      <c r="C21" s="126"/>
      <c r="D21" s="90"/>
      <c r="E21" s="135"/>
      <c r="F21" s="90"/>
      <c r="G21" s="135"/>
      <c r="H21" s="90"/>
      <c r="I21" s="137"/>
      <c r="J21" s="116"/>
      <c r="K21" s="204"/>
      <c r="L21" s="158"/>
      <c r="N21" s="33"/>
      <c r="O21" s="229"/>
      <c r="P21" s="33"/>
    </row>
    <row r="22" spans="1:16" x14ac:dyDescent="0.25">
      <c r="A22" s="89" t="s">
        <v>10</v>
      </c>
      <c r="B22" s="33"/>
      <c r="C22" s="126"/>
      <c r="D22" s="90"/>
      <c r="E22" s="135"/>
      <c r="F22" s="90"/>
      <c r="G22" s="135"/>
      <c r="H22" s="90"/>
      <c r="I22" s="137"/>
      <c r="J22" s="116"/>
      <c r="K22" s="204"/>
      <c r="L22" s="158"/>
      <c r="N22" s="33"/>
      <c r="O22" s="229"/>
      <c r="P22" s="33"/>
    </row>
    <row r="23" spans="1:16" x14ac:dyDescent="0.25">
      <c r="A23" s="147" t="s">
        <v>256</v>
      </c>
      <c r="B23" s="33" t="s">
        <v>257</v>
      </c>
      <c r="C23" s="91">
        <v>6196.75</v>
      </c>
      <c r="D23" s="90">
        <v>10000</v>
      </c>
      <c r="E23" s="135">
        <v>7310</v>
      </c>
      <c r="F23" s="90">
        <v>7000</v>
      </c>
      <c r="G23" s="135">
        <v>5593</v>
      </c>
      <c r="H23" s="90">
        <v>7000</v>
      </c>
      <c r="I23" s="137">
        <v>2970.69</v>
      </c>
      <c r="J23" s="90">
        <v>7000</v>
      </c>
      <c r="K23" s="199">
        <v>7000</v>
      </c>
      <c r="L23" s="158"/>
      <c r="M23" s="222">
        <f>K23+(K23*'REVEN&amp;EXP - ALL FUNDS'!$E$5)</f>
        <v>7210</v>
      </c>
      <c r="N23" s="222">
        <v>0</v>
      </c>
      <c r="O23" s="229">
        <f t="shared" si="0"/>
        <v>7426.3</v>
      </c>
      <c r="P23" s="33"/>
    </row>
    <row r="24" spans="1:16" ht="16.5" thickBot="1" x14ac:dyDescent="0.3">
      <c r="A24" s="147" t="s">
        <v>258</v>
      </c>
      <c r="B24" s="33" t="s">
        <v>259</v>
      </c>
      <c r="C24" s="94">
        <v>2100</v>
      </c>
      <c r="D24" s="123">
        <v>2000</v>
      </c>
      <c r="E24" s="142">
        <v>1925</v>
      </c>
      <c r="F24" s="123">
        <v>2000</v>
      </c>
      <c r="G24" s="142">
        <v>2100</v>
      </c>
      <c r="H24" s="123">
        <v>2000</v>
      </c>
      <c r="I24" s="144">
        <v>1400</v>
      </c>
      <c r="J24" s="123">
        <v>2400</v>
      </c>
      <c r="K24" s="200">
        <v>2400</v>
      </c>
      <c r="L24" s="158"/>
      <c r="M24" s="223">
        <f>K24+(K24*'REVEN&amp;EXP - ALL FUNDS'!$E$5)</f>
        <v>2472</v>
      </c>
      <c r="N24" s="223">
        <v>0</v>
      </c>
      <c r="O24" s="230">
        <f t="shared" si="0"/>
        <v>2546.16</v>
      </c>
      <c r="P24" s="33"/>
    </row>
    <row r="25" spans="1:16" x14ac:dyDescent="0.25">
      <c r="A25" s="33"/>
      <c r="B25" s="53" t="s">
        <v>218</v>
      </c>
      <c r="C25" s="91">
        <f>SUM(C23:C24)</f>
        <v>8296.75</v>
      </c>
      <c r="D25" s="91">
        <f t="shared" ref="D25" si="1">SUM(D23:D24)</f>
        <v>12000</v>
      </c>
      <c r="E25" s="127">
        <f>SUM(E23:E24)</f>
        <v>9235</v>
      </c>
      <c r="F25" s="91">
        <v>9000</v>
      </c>
      <c r="G25" s="127">
        <v>7693</v>
      </c>
      <c r="H25" s="91">
        <v>9000</v>
      </c>
      <c r="I25" s="58">
        <f t="shared" ref="I25" si="2">SUM(I23:I24)</f>
        <v>4370.6900000000005</v>
      </c>
      <c r="J25" s="90">
        <f t="shared" ref="J25:M25" si="3">SUM(J23:J24)</f>
        <v>9400</v>
      </c>
      <c r="K25" s="199">
        <f t="shared" si="3"/>
        <v>9400</v>
      </c>
      <c r="L25" s="158"/>
      <c r="M25" s="225">
        <f t="shared" si="3"/>
        <v>9682</v>
      </c>
      <c r="N25" s="225">
        <f>SUM(N23:N24)</f>
        <v>0</v>
      </c>
      <c r="O25" s="231">
        <f>SUM(O23:O24)</f>
        <v>9972.4599999999991</v>
      </c>
      <c r="P25" s="33"/>
    </row>
    <row r="26" spans="1:16" x14ac:dyDescent="0.25">
      <c r="A26" s="33"/>
      <c r="B26" s="33"/>
      <c r="C26" s="91"/>
      <c r="D26" s="90"/>
      <c r="E26" s="135"/>
      <c r="F26" s="90"/>
      <c r="G26" s="135"/>
      <c r="H26" s="90"/>
      <c r="I26" s="137"/>
      <c r="J26" s="90"/>
      <c r="K26" s="199"/>
      <c r="L26" s="158"/>
      <c r="N26" s="33"/>
      <c r="O26" s="229"/>
      <c r="P26" s="33"/>
    </row>
    <row r="27" spans="1:16" x14ac:dyDescent="0.25">
      <c r="A27" s="89" t="s">
        <v>12</v>
      </c>
      <c r="B27" s="33"/>
      <c r="C27" s="91"/>
      <c r="D27" s="90"/>
      <c r="E27" s="135"/>
      <c r="F27" s="90"/>
      <c r="G27" s="135"/>
      <c r="H27" s="90"/>
      <c r="I27" s="137"/>
      <c r="J27" s="90"/>
      <c r="K27" s="199"/>
      <c r="L27" s="158"/>
      <c r="N27" s="33"/>
      <c r="O27" s="229"/>
      <c r="P27" s="33"/>
    </row>
    <row r="28" spans="1:16" ht="15" hidden="1" customHeight="1" x14ac:dyDescent="0.25">
      <c r="A28" s="150" t="s">
        <v>260</v>
      </c>
      <c r="B28" s="57" t="s">
        <v>261</v>
      </c>
      <c r="C28" s="127">
        <v>0</v>
      </c>
      <c r="D28" s="135">
        <v>0</v>
      </c>
      <c r="E28" s="135"/>
      <c r="F28" s="135">
        <v>0</v>
      </c>
      <c r="G28" s="135"/>
      <c r="H28" s="135"/>
      <c r="I28" s="137"/>
      <c r="J28" s="135"/>
      <c r="K28" s="199"/>
      <c r="L28" s="158"/>
      <c r="N28" s="33"/>
      <c r="O28" s="229">
        <f t="shared" si="0"/>
        <v>0</v>
      </c>
      <c r="P28" s="33"/>
    </row>
    <row r="29" spans="1:16" x14ac:dyDescent="0.25">
      <c r="A29" s="147" t="s">
        <v>262</v>
      </c>
      <c r="B29" s="33" t="s">
        <v>263</v>
      </c>
      <c r="C29" s="91">
        <v>0</v>
      </c>
      <c r="D29" s="90">
        <v>0</v>
      </c>
      <c r="E29" s="135">
        <v>0</v>
      </c>
      <c r="F29" s="90">
        <v>300</v>
      </c>
      <c r="G29" s="135"/>
      <c r="H29" s="90">
        <v>300</v>
      </c>
      <c r="I29" s="137"/>
      <c r="J29" s="90">
        <v>300</v>
      </c>
      <c r="K29" s="199">
        <v>300</v>
      </c>
      <c r="L29" s="158"/>
      <c r="M29" s="222">
        <f>K29+(K29*'REVEN&amp;EXP - ALL FUNDS'!$E$5)</f>
        <v>309</v>
      </c>
      <c r="N29" s="222">
        <v>0</v>
      </c>
      <c r="O29" s="229">
        <f t="shared" si="0"/>
        <v>318.27</v>
      </c>
      <c r="P29" s="33"/>
    </row>
    <row r="30" spans="1:16" x14ac:dyDescent="0.25">
      <c r="A30" s="147" t="s">
        <v>264</v>
      </c>
      <c r="B30" s="33" t="s">
        <v>222</v>
      </c>
      <c r="C30" s="91">
        <v>550</v>
      </c>
      <c r="D30" s="90">
        <v>0</v>
      </c>
      <c r="E30" s="135">
        <v>0</v>
      </c>
      <c r="F30" s="90">
        <v>1500</v>
      </c>
      <c r="G30" s="135">
        <v>428</v>
      </c>
      <c r="H30" s="90">
        <v>1500</v>
      </c>
      <c r="I30" s="137">
        <v>48</v>
      </c>
      <c r="J30" s="90">
        <v>750</v>
      </c>
      <c r="K30" s="199">
        <v>750</v>
      </c>
      <c r="L30" s="158"/>
      <c r="M30" s="222">
        <f>K30+(K30*'REVEN&amp;EXP - ALL FUNDS'!$E$5)</f>
        <v>772.5</v>
      </c>
      <c r="N30" s="222">
        <v>0</v>
      </c>
      <c r="O30" s="229">
        <f t="shared" si="0"/>
        <v>795.67499999999995</v>
      </c>
      <c r="P30" s="33"/>
    </row>
    <row r="31" spans="1:16" ht="16.5" thickBot="1" x14ac:dyDescent="0.3">
      <c r="A31" s="147" t="s">
        <v>265</v>
      </c>
      <c r="B31" s="33" t="s">
        <v>224</v>
      </c>
      <c r="C31" s="91">
        <v>0</v>
      </c>
      <c r="D31" s="123">
        <v>0</v>
      </c>
      <c r="E31" s="142">
        <v>0</v>
      </c>
      <c r="F31" s="90">
        <v>1000</v>
      </c>
      <c r="G31" s="135">
        <v>1270.26</v>
      </c>
      <c r="H31" s="90">
        <v>1000</v>
      </c>
      <c r="I31" s="137">
        <v>340.19</v>
      </c>
      <c r="J31" s="90">
        <v>500</v>
      </c>
      <c r="K31" s="199">
        <v>500</v>
      </c>
      <c r="L31" s="158"/>
      <c r="M31" s="222">
        <f>K31+(K31*'REVEN&amp;EXP - ALL FUNDS'!$E$5)</f>
        <v>515</v>
      </c>
      <c r="N31" s="222">
        <v>0</v>
      </c>
      <c r="O31" s="229">
        <f t="shared" si="0"/>
        <v>530.45000000000005</v>
      </c>
      <c r="P31" s="33"/>
    </row>
    <row r="32" spans="1:16" ht="16.5" thickBot="1" x14ac:dyDescent="0.3">
      <c r="A32" s="147" t="s">
        <v>266</v>
      </c>
      <c r="B32" s="33" t="s">
        <v>466</v>
      </c>
      <c r="C32" s="91"/>
      <c r="D32" s="123"/>
      <c r="E32" s="142"/>
      <c r="F32" s="90"/>
      <c r="G32" s="135"/>
      <c r="H32" s="90"/>
      <c r="I32" s="137">
        <v>2710</v>
      </c>
      <c r="J32" s="90">
        <v>2710</v>
      </c>
      <c r="K32" s="199">
        <v>2710</v>
      </c>
      <c r="L32" s="158"/>
      <c r="M32" s="222">
        <f>K32+(K32*'REVEN&amp;EXP - ALL FUNDS'!$E$5)</f>
        <v>2791.3</v>
      </c>
      <c r="N32" s="222">
        <v>0</v>
      </c>
      <c r="O32" s="229">
        <v>2800</v>
      </c>
      <c r="P32" s="33"/>
    </row>
    <row r="33" spans="1:16" ht="16.5" thickBot="1" x14ac:dyDescent="0.3">
      <c r="A33" s="147" t="s">
        <v>624</v>
      </c>
      <c r="B33" s="33" t="s">
        <v>351</v>
      </c>
      <c r="C33" s="91">
        <v>0</v>
      </c>
      <c r="D33" s="123">
        <v>0</v>
      </c>
      <c r="E33" s="142">
        <v>0</v>
      </c>
      <c r="F33" s="123">
        <v>0</v>
      </c>
      <c r="G33" s="142">
        <v>0</v>
      </c>
      <c r="H33" s="123">
        <v>0</v>
      </c>
      <c r="I33" s="144">
        <v>0</v>
      </c>
      <c r="J33" s="123">
        <v>321</v>
      </c>
      <c r="K33" s="200">
        <v>321</v>
      </c>
      <c r="L33" s="158"/>
      <c r="M33" s="223">
        <f>K33+(K33*'REVEN&amp;EXP - ALL FUNDS'!$E$5)</f>
        <v>330.63</v>
      </c>
      <c r="N33" s="223">
        <v>0</v>
      </c>
      <c r="O33" s="230">
        <v>0</v>
      </c>
      <c r="P33" s="33"/>
    </row>
    <row r="34" spans="1:16" ht="15.75" hidden="1" customHeight="1" thickBot="1" x14ac:dyDescent="0.3">
      <c r="A34" s="150" t="s">
        <v>266</v>
      </c>
      <c r="B34" s="57" t="s">
        <v>267</v>
      </c>
      <c r="C34" s="151">
        <v>0</v>
      </c>
      <c r="D34" s="142">
        <v>0</v>
      </c>
      <c r="E34" s="142"/>
      <c r="F34" s="142">
        <v>0</v>
      </c>
      <c r="G34" s="142"/>
      <c r="H34" s="142"/>
      <c r="I34" s="144"/>
      <c r="J34" s="142"/>
      <c r="K34" s="200"/>
      <c r="L34" s="158"/>
      <c r="M34" s="244"/>
      <c r="N34" s="222"/>
      <c r="O34" s="229">
        <f t="shared" si="0"/>
        <v>0</v>
      </c>
      <c r="P34" s="33"/>
    </row>
    <row r="35" spans="1:16" x14ac:dyDescent="0.25">
      <c r="A35" s="277" t="s">
        <v>227</v>
      </c>
      <c r="B35" s="277"/>
      <c r="C35" s="91">
        <f>SUM(C28:C34)</f>
        <v>550</v>
      </c>
      <c r="D35" s="91">
        <f>SUM(D28:D34)</f>
        <v>0</v>
      </c>
      <c r="E35" s="127">
        <v>0</v>
      </c>
      <c r="F35" s="91">
        <v>2800</v>
      </c>
      <c r="G35" s="127">
        <v>1698.26</v>
      </c>
      <c r="H35" s="91">
        <v>2800</v>
      </c>
      <c r="I35" s="58">
        <f>SUM(I28:I33)</f>
        <v>3098.19</v>
      </c>
      <c r="J35" s="90">
        <f t="shared" ref="J35:M35" si="4">SUM(J28:J33)</f>
        <v>4581</v>
      </c>
      <c r="K35" s="199">
        <f t="shared" si="4"/>
        <v>4581</v>
      </c>
      <c r="L35" s="158"/>
      <c r="M35" s="225">
        <f t="shared" si="4"/>
        <v>4718.43</v>
      </c>
      <c r="N35" s="225">
        <f>SUM(N29:N34)</f>
        <v>0</v>
      </c>
      <c r="O35" s="231">
        <f>SUM(O28:O34)</f>
        <v>4444.3950000000004</v>
      </c>
      <c r="P35" s="33"/>
    </row>
    <row r="36" spans="1:16" x14ac:dyDescent="0.25">
      <c r="A36" s="33"/>
      <c r="B36" s="33"/>
      <c r="C36" s="91"/>
      <c r="D36" s="90"/>
      <c r="E36" s="135"/>
      <c r="F36" s="90"/>
      <c r="G36" s="135"/>
      <c r="H36" s="90"/>
      <c r="I36" s="137"/>
      <c r="J36" s="90"/>
      <c r="K36" s="199"/>
      <c r="L36" s="158"/>
      <c r="N36" s="33"/>
      <c r="O36" s="232"/>
      <c r="P36" s="33"/>
    </row>
    <row r="37" spans="1:16" x14ac:dyDescent="0.25">
      <c r="B37" s="153" t="s">
        <v>268</v>
      </c>
      <c r="C37" s="107">
        <f t="shared" ref="C37:I37" si="5">C20+C25+C35</f>
        <v>40350.646874999999</v>
      </c>
      <c r="D37" s="107">
        <f t="shared" si="5"/>
        <v>41669.479999999996</v>
      </c>
      <c r="E37" s="55">
        <f t="shared" si="5"/>
        <v>9235</v>
      </c>
      <c r="F37" s="107">
        <v>36638.576000000001</v>
      </c>
      <c r="G37" s="55">
        <v>33827.68</v>
      </c>
      <c r="H37" s="107">
        <v>43549.79</v>
      </c>
      <c r="I37" s="56">
        <f t="shared" si="5"/>
        <v>29620.44</v>
      </c>
      <c r="J37" s="159">
        <f>J20+J25+J35</f>
        <v>45137.98</v>
      </c>
      <c r="K37" s="205">
        <f>K20+K25+K35</f>
        <v>45137.98</v>
      </c>
      <c r="L37" s="158"/>
      <c r="M37" s="240">
        <f>M20+M25+M35</f>
        <v>46720.189399999996</v>
      </c>
      <c r="N37" s="240">
        <f t="shared" ref="N37:O37" si="6">N20+N25+N35</f>
        <v>0</v>
      </c>
      <c r="O37" s="243">
        <f t="shared" si="6"/>
        <v>48008.653281999999</v>
      </c>
      <c r="P37" s="33"/>
    </row>
    <row r="39" spans="1:16" hidden="1" x14ac:dyDescent="0.25">
      <c r="A39" s="156" t="s">
        <v>269</v>
      </c>
    </row>
    <row r="40" spans="1:16" ht="91.5" hidden="1" customHeight="1" x14ac:dyDescent="0.25">
      <c r="A40" s="279" t="s">
        <v>665</v>
      </c>
      <c r="B40" s="279"/>
      <c r="C40" s="279"/>
      <c r="D40" s="279"/>
      <c r="E40" s="279"/>
      <c r="F40" s="279"/>
      <c r="G40" s="160"/>
      <c r="H40" s="160"/>
    </row>
    <row r="41" spans="1:16" hidden="1" x14ac:dyDescent="0.25"/>
    <row r="42" spans="1:16" hidden="1" x14ac:dyDescent="0.25">
      <c r="B42" s="184" t="s">
        <v>660</v>
      </c>
      <c r="C42" s="184"/>
      <c r="D42" s="185"/>
      <c r="E42" s="185"/>
      <c r="F42" s="185"/>
      <c r="G42" s="185"/>
      <c r="H42" s="185"/>
      <c r="I42" s="182"/>
    </row>
  </sheetData>
  <sortState ref="A11:J18">
    <sortCondition ref="A11"/>
  </sortState>
  <mergeCells count="3">
    <mergeCell ref="A20:B20"/>
    <mergeCell ref="A35:B35"/>
    <mergeCell ref="A40:F40"/>
  </mergeCells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39"/>
  <sheetViews>
    <sheetView zoomScale="90" zoomScaleNormal="90" workbookViewId="0">
      <selection activeCell="O41" sqref="O41"/>
    </sheetView>
  </sheetViews>
  <sheetFormatPr defaultColWidth="9.140625" defaultRowHeight="15.75" x14ac:dyDescent="0.25"/>
  <cols>
    <col min="1" max="1" width="10.5703125" style="34" customWidth="1"/>
    <col min="2" max="2" width="36.42578125" style="34" customWidth="1"/>
    <col min="3" max="3" width="10.42578125" style="34" hidden="1" customWidth="1"/>
    <col min="4" max="5" width="10.28515625" style="34" hidden="1" customWidth="1"/>
    <col min="6" max="6" width="15.42578125" style="34" hidden="1" customWidth="1"/>
    <col min="7" max="7" width="17" style="34" hidden="1" customWidth="1"/>
    <col min="8" max="8" width="14.5703125" style="34" hidden="1" customWidth="1"/>
    <col min="9" max="11" width="11" style="34" hidden="1" customWidth="1"/>
    <col min="12" max="12" width="3.140625" style="34" hidden="1" customWidth="1"/>
    <col min="13" max="13" width="14.7109375" style="90" customWidth="1"/>
    <col min="14" max="14" width="11.140625" style="34" customWidth="1"/>
    <col min="15" max="15" width="14.140625" style="34" customWidth="1"/>
    <col min="16" max="16384" width="9.140625" style="34"/>
  </cols>
  <sheetData>
    <row r="1" spans="1:17" x14ac:dyDescent="0.25">
      <c r="A1" s="32" t="s">
        <v>563</v>
      </c>
      <c r="B1" s="32"/>
      <c r="C1" s="32"/>
      <c r="D1" s="32"/>
      <c r="E1" s="32"/>
      <c r="F1" s="32"/>
      <c r="G1" s="32"/>
    </row>
    <row r="2" spans="1:17" x14ac:dyDescent="0.25">
      <c r="A2" s="32" t="s">
        <v>564</v>
      </c>
      <c r="B2" s="32"/>
      <c r="C2" s="32"/>
      <c r="D2" s="32"/>
      <c r="E2" s="32"/>
      <c r="F2" s="32"/>
      <c r="G2" s="32"/>
    </row>
    <row r="3" spans="1:17" x14ac:dyDescent="0.25">
      <c r="A3" s="32" t="str">
        <f>+'GF - COURT'!A3</f>
        <v>FISCAL YEAR 2023-2024</v>
      </c>
      <c r="B3" s="32"/>
      <c r="C3" s="32"/>
      <c r="D3" s="32"/>
      <c r="E3" s="32"/>
      <c r="F3" s="32"/>
      <c r="G3" s="32"/>
    </row>
    <row r="5" spans="1:17" s="40" customFormat="1" ht="52.5" customHeight="1" thickBot="1" x14ac:dyDescent="0.3">
      <c r="A5" s="79" t="s">
        <v>691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">
        <v>670</v>
      </c>
      <c r="K5" s="197" t="s">
        <v>671</v>
      </c>
      <c r="L5" s="157"/>
      <c r="M5" s="120" t="s">
        <v>703</v>
      </c>
      <c r="N5" s="37" t="s">
        <v>687</v>
      </c>
      <c r="O5" s="227" t="s">
        <v>685</v>
      </c>
    </row>
    <row r="6" spans="1:17" hidden="1" x14ac:dyDescent="0.25">
      <c r="A6" s="33"/>
      <c r="B6" s="33"/>
      <c r="C6" s="33"/>
      <c r="D6" s="33"/>
      <c r="E6" s="57"/>
      <c r="G6" s="59"/>
      <c r="I6" s="71"/>
      <c r="K6" s="198"/>
      <c r="L6" s="158"/>
      <c r="O6" s="228"/>
    </row>
    <row r="7" spans="1:17" hidden="1" x14ac:dyDescent="0.25">
      <c r="A7" s="39" t="s">
        <v>195</v>
      </c>
      <c r="B7" s="33"/>
      <c r="C7" s="33"/>
      <c r="D7" s="33"/>
      <c r="E7" s="57"/>
      <c r="G7" s="59"/>
      <c r="I7" s="71"/>
      <c r="K7" s="198"/>
      <c r="L7" s="158"/>
      <c r="O7" s="228"/>
    </row>
    <row r="8" spans="1:17" hidden="1" x14ac:dyDescent="0.25">
      <c r="A8" s="139" t="s">
        <v>270</v>
      </c>
      <c r="B8" s="106" t="s">
        <v>48</v>
      </c>
      <c r="C8" s="33"/>
      <c r="D8" s="33"/>
      <c r="E8" s="57"/>
      <c r="G8" s="59"/>
      <c r="I8" s="71"/>
      <c r="K8" s="198"/>
      <c r="L8" s="158"/>
      <c r="O8" s="228"/>
    </row>
    <row r="9" spans="1:17" hidden="1" x14ac:dyDescent="0.25">
      <c r="A9" s="33"/>
      <c r="B9" s="33"/>
      <c r="C9" s="33"/>
      <c r="D9" s="33"/>
      <c r="E9" s="57"/>
      <c r="G9" s="136"/>
      <c r="I9" s="71"/>
      <c r="K9" s="198"/>
      <c r="L9" s="158"/>
      <c r="O9" s="228"/>
    </row>
    <row r="10" spans="1:17" x14ac:dyDescent="0.25">
      <c r="A10" s="89" t="s">
        <v>198</v>
      </c>
      <c r="B10" s="33"/>
      <c r="C10" s="33"/>
      <c r="D10" s="33"/>
      <c r="E10" s="57"/>
      <c r="G10" s="59"/>
      <c r="I10" s="71"/>
      <c r="K10" s="198"/>
      <c r="L10" s="158"/>
      <c r="N10" s="33"/>
      <c r="O10" s="232"/>
      <c r="P10" s="33"/>
      <c r="Q10" s="33"/>
    </row>
    <row r="11" spans="1:17" x14ac:dyDescent="0.25">
      <c r="A11" s="147" t="s">
        <v>271</v>
      </c>
      <c r="B11" s="33" t="s">
        <v>200</v>
      </c>
      <c r="C11" s="91">
        <v>23365.87</v>
      </c>
      <c r="D11" s="90">
        <v>25000</v>
      </c>
      <c r="E11" s="135">
        <v>0</v>
      </c>
      <c r="F11" s="90">
        <v>18720</v>
      </c>
      <c r="G11" s="135">
        <v>20600.22</v>
      </c>
      <c r="H11" s="90">
        <v>22360</v>
      </c>
      <c r="I11" s="137">
        <v>22360</v>
      </c>
      <c r="J11" s="90">
        <v>22807</v>
      </c>
      <c r="K11" s="199">
        <v>22807</v>
      </c>
      <c r="L11" s="158"/>
      <c r="M11" s="222">
        <v>37440</v>
      </c>
      <c r="N11" s="222">
        <v>23719</v>
      </c>
      <c r="O11" s="229">
        <f t="shared" ref="O11:O31" si="0">(M11*3%)+M11</f>
        <v>38563.199999999997</v>
      </c>
      <c r="P11" s="33"/>
      <c r="Q11" s="33"/>
    </row>
    <row r="12" spans="1:17" x14ac:dyDescent="0.25">
      <c r="A12" s="147" t="s">
        <v>272</v>
      </c>
      <c r="B12" s="33" t="s">
        <v>249</v>
      </c>
      <c r="C12" s="91">
        <v>2235.56</v>
      </c>
      <c r="D12" s="90">
        <v>0</v>
      </c>
      <c r="E12" s="135">
        <v>0</v>
      </c>
      <c r="F12" s="90">
        <v>0</v>
      </c>
      <c r="G12" s="135">
        <v>903.67</v>
      </c>
      <c r="H12" s="90">
        <v>500</v>
      </c>
      <c r="I12" s="137">
        <v>500</v>
      </c>
      <c r="J12" s="90">
        <v>500</v>
      </c>
      <c r="K12" s="199">
        <v>500</v>
      </c>
      <c r="L12" s="158"/>
      <c r="M12" s="222">
        <f>K12+(K12*'REVEN&amp;EXP - ALL FUNDS'!$E$5)</f>
        <v>515</v>
      </c>
      <c r="N12" s="222">
        <v>0</v>
      </c>
      <c r="O12" s="229">
        <v>500</v>
      </c>
      <c r="P12" s="33"/>
      <c r="Q12" s="33"/>
    </row>
    <row r="13" spans="1:17" x14ac:dyDescent="0.25">
      <c r="A13" s="147" t="s">
        <v>273</v>
      </c>
      <c r="B13" s="33" t="s">
        <v>202</v>
      </c>
      <c r="C13" s="91">
        <f>((10.75+0.88)*12)/2</f>
        <v>69.78</v>
      </c>
      <c r="D13" s="90">
        <v>70</v>
      </c>
      <c r="E13" s="135">
        <v>0</v>
      </c>
      <c r="F13" s="90">
        <v>75</v>
      </c>
      <c r="G13" s="135">
        <v>11.48</v>
      </c>
      <c r="H13" s="90">
        <v>75</v>
      </c>
      <c r="I13" s="137">
        <v>75</v>
      </c>
      <c r="J13" s="90">
        <v>35</v>
      </c>
      <c r="K13" s="199">
        <v>35</v>
      </c>
      <c r="L13" s="158"/>
      <c r="M13" s="222">
        <f>K13+(K13*'REVEN&amp;EXP - ALL FUNDS'!$E$5)</f>
        <v>36.049999999999997</v>
      </c>
      <c r="N13" s="222">
        <v>0</v>
      </c>
      <c r="O13" s="229">
        <f t="shared" si="0"/>
        <v>37.131499999999996</v>
      </c>
      <c r="P13" s="33"/>
      <c r="Q13" s="33"/>
    </row>
    <row r="14" spans="1:17" x14ac:dyDescent="0.25">
      <c r="A14" s="147" t="s">
        <v>274</v>
      </c>
      <c r="B14" s="33" t="s">
        <v>204</v>
      </c>
      <c r="C14" s="91">
        <v>0</v>
      </c>
      <c r="D14" s="90">
        <v>0</v>
      </c>
      <c r="E14" s="135">
        <v>0</v>
      </c>
      <c r="F14" s="90">
        <v>400</v>
      </c>
      <c r="G14" s="135">
        <v>307.68</v>
      </c>
      <c r="H14" s="90">
        <v>331.47</v>
      </c>
      <c r="I14" s="137">
        <v>331</v>
      </c>
      <c r="J14" s="90">
        <v>338</v>
      </c>
      <c r="K14" s="199">
        <v>338</v>
      </c>
      <c r="L14" s="158"/>
      <c r="M14" s="222">
        <f>K14+(K14*'REVEN&amp;EXP - ALL FUNDS'!$E$5)</f>
        <v>348.14</v>
      </c>
      <c r="N14" s="222">
        <v>0</v>
      </c>
      <c r="O14" s="229">
        <f t="shared" si="0"/>
        <v>358.58420000000001</v>
      </c>
      <c r="P14" s="33"/>
      <c r="Q14" s="33"/>
    </row>
    <row r="15" spans="1:17" x14ac:dyDescent="0.25">
      <c r="A15" s="147" t="s">
        <v>276</v>
      </c>
      <c r="B15" s="33" t="s">
        <v>208</v>
      </c>
      <c r="C15" s="91">
        <f>(C10+C11)*6.25%</f>
        <v>1460.3668749999999</v>
      </c>
      <c r="D15" s="90">
        <v>0</v>
      </c>
      <c r="E15" s="135">
        <v>0</v>
      </c>
      <c r="F15" s="90">
        <v>1044.576</v>
      </c>
      <c r="G15" s="135">
        <v>1070.21</v>
      </c>
      <c r="H15" s="90">
        <v>1276</v>
      </c>
      <c r="I15" s="137">
        <v>1276</v>
      </c>
      <c r="J15" s="90">
        <v>1151</v>
      </c>
      <c r="K15" s="199">
        <v>1151</v>
      </c>
      <c r="L15" s="158"/>
      <c r="M15" s="222">
        <f>K15+(K15*'REVEN&amp;EXP - ALL FUNDS'!$E$5)</f>
        <v>1185.53</v>
      </c>
      <c r="N15" s="222">
        <v>0</v>
      </c>
      <c r="O15" s="229">
        <f t="shared" si="0"/>
        <v>1221.0959</v>
      </c>
      <c r="P15" s="33"/>
      <c r="Q15" s="33"/>
    </row>
    <row r="16" spans="1:17" x14ac:dyDescent="0.25">
      <c r="A16" s="147" t="s">
        <v>277</v>
      </c>
      <c r="B16" s="33" t="s">
        <v>210</v>
      </c>
      <c r="C16" s="91">
        <f>(728.72*12)/2</f>
        <v>4372.32</v>
      </c>
      <c r="D16" s="90">
        <f>(766.58*12)/2</f>
        <v>4599.4800000000005</v>
      </c>
      <c r="E16" s="135">
        <v>0</v>
      </c>
      <c r="F16" s="90">
        <v>4599</v>
      </c>
      <c r="G16" s="135">
        <v>1543.14</v>
      </c>
      <c r="H16" s="90">
        <v>4678</v>
      </c>
      <c r="I16" s="137">
        <v>4678</v>
      </c>
      <c r="J16" s="90">
        <v>4771</v>
      </c>
      <c r="K16" s="199">
        <v>4771</v>
      </c>
      <c r="L16" s="158"/>
      <c r="M16" s="222">
        <v>10220</v>
      </c>
      <c r="N16" s="222">
        <v>0</v>
      </c>
      <c r="O16" s="229">
        <v>10670</v>
      </c>
      <c r="P16" s="33"/>
      <c r="Q16" s="33"/>
    </row>
    <row r="17" spans="1:17" x14ac:dyDescent="0.25">
      <c r="A17" s="147" t="s">
        <v>278</v>
      </c>
      <c r="B17" s="33" t="s">
        <v>212</v>
      </c>
      <c r="C17" s="91">
        <v>0</v>
      </c>
      <c r="D17" s="90">
        <v>0</v>
      </c>
      <c r="E17" s="135">
        <v>0</v>
      </c>
      <c r="F17" s="90">
        <v>0</v>
      </c>
      <c r="G17" s="135">
        <v>0</v>
      </c>
      <c r="H17" s="90">
        <v>1143</v>
      </c>
      <c r="I17" s="137">
        <v>1143</v>
      </c>
      <c r="J17" s="90">
        <v>109</v>
      </c>
      <c r="K17" s="199">
        <v>109</v>
      </c>
      <c r="L17" s="158"/>
      <c r="M17" s="222">
        <f>K17+(K17*'REVEN&amp;EXP - ALL FUNDS'!$E$5)</f>
        <v>112.27</v>
      </c>
      <c r="N17" s="222">
        <v>0</v>
      </c>
      <c r="O17" s="229">
        <f t="shared" si="0"/>
        <v>115.63809999999999</v>
      </c>
      <c r="P17" s="33"/>
      <c r="Q17" s="33"/>
    </row>
    <row r="18" spans="1:17" ht="16.5" thickBot="1" x14ac:dyDescent="0.3">
      <c r="A18" s="33" t="s">
        <v>275</v>
      </c>
      <c r="B18" s="33" t="s">
        <v>206</v>
      </c>
      <c r="C18" s="94"/>
      <c r="D18" s="123">
        <v>0</v>
      </c>
      <c r="E18" s="142">
        <v>0</v>
      </c>
      <c r="F18" s="123">
        <v>0</v>
      </c>
      <c r="G18" s="142">
        <v>0</v>
      </c>
      <c r="H18" s="123">
        <v>1386.32</v>
      </c>
      <c r="I18" s="144">
        <v>1386</v>
      </c>
      <c r="J18" s="123">
        <v>1445</v>
      </c>
      <c r="K18" s="200">
        <v>1445</v>
      </c>
      <c r="L18" s="158"/>
      <c r="M18" s="223">
        <f>K18+(K18*'REVEN&amp;EXP - ALL FUNDS'!$E$5)</f>
        <v>1488.35</v>
      </c>
      <c r="N18" s="223">
        <v>0</v>
      </c>
      <c r="O18" s="230">
        <f t="shared" si="0"/>
        <v>1533.0004999999999</v>
      </c>
      <c r="P18" s="33"/>
      <c r="Q18" s="33"/>
    </row>
    <row r="19" spans="1:17" x14ac:dyDescent="0.25">
      <c r="A19" s="277" t="s">
        <v>213</v>
      </c>
      <c r="B19" s="277"/>
      <c r="C19" s="91">
        <f>SUM(C11:C18)</f>
        <v>31503.896874999999</v>
      </c>
      <c r="D19" s="91">
        <f>SUM(D11:D18)</f>
        <v>29669.48</v>
      </c>
      <c r="E19" s="127"/>
      <c r="F19" s="91">
        <v>24838.576000000001</v>
      </c>
      <c r="G19" s="127">
        <v>24436.399999999998</v>
      </c>
      <c r="H19" s="91">
        <v>31749.79</v>
      </c>
      <c r="I19" s="58">
        <f>SUM(I11:I18)</f>
        <v>31749</v>
      </c>
      <c r="J19" s="91">
        <f>SUM(J11:J18)</f>
        <v>31156</v>
      </c>
      <c r="K19" s="201">
        <f>SUM(K11:K18)</f>
        <v>31156</v>
      </c>
      <c r="L19" s="158"/>
      <c r="M19" s="225">
        <f>SUM(M11:M18)</f>
        <v>51345.34</v>
      </c>
      <c r="N19" s="225">
        <f>SUM(N11:N18)</f>
        <v>23719</v>
      </c>
      <c r="O19" s="231">
        <f>SUM(O11:O18)</f>
        <v>52998.650199999996</v>
      </c>
      <c r="P19" s="33"/>
      <c r="Q19" s="33"/>
    </row>
    <row r="20" spans="1:17" x14ac:dyDescent="0.25">
      <c r="A20" s="33"/>
      <c r="B20" s="33"/>
      <c r="C20" s="126"/>
      <c r="D20" s="90"/>
      <c r="E20" s="135"/>
      <c r="F20" s="90"/>
      <c r="G20" s="135"/>
      <c r="H20" s="90"/>
      <c r="I20" s="137"/>
      <c r="J20" s="90"/>
      <c r="K20" s="199"/>
      <c r="L20" s="158"/>
      <c r="N20" s="33"/>
      <c r="O20" s="229"/>
      <c r="P20" s="33"/>
      <c r="Q20" s="33"/>
    </row>
    <row r="21" spans="1:17" x14ac:dyDescent="0.25">
      <c r="A21" s="89" t="s">
        <v>10</v>
      </c>
      <c r="B21" s="33"/>
      <c r="C21" s="126"/>
      <c r="D21" s="90"/>
      <c r="E21" s="135"/>
      <c r="F21" s="90"/>
      <c r="G21" s="135"/>
      <c r="H21" s="90"/>
      <c r="I21" s="137"/>
      <c r="J21" s="90"/>
      <c r="K21" s="199"/>
      <c r="L21" s="158"/>
      <c r="N21" s="33"/>
      <c r="O21" s="229"/>
      <c r="P21" s="33"/>
      <c r="Q21" s="33"/>
    </row>
    <row r="22" spans="1:17" ht="16.5" thickBot="1" x14ac:dyDescent="0.3">
      <c r="A22" s="147" t="s">
        <v>279</v>
      </c>
      <c r="B22" s="33" t="s">
        <v>280</v>
      </c>
      <c r="C22" s="94">
        <v>38640.639999999999</v>
      </c>
      <c r="D22" s="123">
        <v>35000</v>
      </c>
      <c r="E22" s="142">
        <v>30040.82</v>
      </c>
      <c r="F22" s="123">
        <v>30000</v>
      </c>
      <c r="G22" s="142">
        <v>72829.179999999993</v>
      </c>
      <c r="H22" s="123">
        <v>30000</v>
      </c>
      <c r="I22" s="144">
        <v>30000</v>
      </c>
      <c r="J22" s="123">
        <v>30000</v>
      </c>
      <c r="K22" s="200">
        <v>30000</v>
      </c>
      <c r="L22" s="158"/>
      <c r="M22" s="223">
        <f>K22+(K22*'REVEN&amp;EXP - ALL FUNDS'!$E$5)</f>
        <v>30900</v>
      </c>
      <c r="N22" s="223">
        <v>0</v>
      </c>
      <c r="O22" s="230">
        <f t="shared" si="0"/>
        <v>31827</v>
      </c>
      <c r="P22" s="33"/>
      <c r="Q22" s="33"/>
    </row>
    <row r="23" spans="1:17" x14ac:dyDescent="0.25">
      <c r="A23" s="33"/>
      <c r="B23" s="53" t="s">
        <v>218</v>
      </c>
      <c r="C23" s="91">
        <f>SUM(C22:C22)</f>
        <v>38640.639999999999</v>
      </c>
      <c r="D23" s="91">
        <f>SUM(D22:D22)</f>
        <v>35000</v>
      </c>
      <c r="E23" s="127">
        <f>+E22</f>
        <v>30040.82</v>
      </c>
      <c r="F23" s="91">
        <v>30000</v>
      </c>
      <c r="G23" s="127">
        <v>72829.179999999993</v>
      </c>
      <c r="H23" s="91">
        <v>30000</v>
      </c>
      <c r="I23" s="58">
        <f>SUM(I22)</f>
        <v>30000</v>
      </c>
      <c r="J23" s="91">
        <f>SUM(J22)</f>
        <v>30000</v>
      </c>
      <c r="K23" s="201">
        <f>SUM(K22)</f>
        <v>30000</v>
      </c>
      <c r="L23" s="158"/>
      <c r="M23" s="225">
        <f>SUM(M22)</f>
        <v>30900</v>
      </c>
      <c r="N23" s="225">
        <f>SUM(N22)</f>
        <v>0</v>
      </c>
      <c r="O23" s="231">
        <f>SUM(O22)</f>
        <v>31827</v>
      </c>
      <c r="P23" s="33"/>
      <c r="Q23" s="33"/>
    </row>
    <row r="24" spans="1:17" x14ac:dyDescent="0.25">
      <c r="A24" s="33"/>
      <c r="B24" s="33"/>
      <c r="C24" s="91"/>
      <c r="D24" s="90"/>
      <c r="E24" s="135"/>
      <c r="F24" s="90"/>
      <c r="G24" s="135"/>
      <c r="H24" s="90"/>
      <c r="I24" s="137"/>
      <c r="J24" s="90"/>
      <c r="K24" s="199"/>
      <c r="L24" s="158"/>
      <c r="N24" s="33"/>
      <c r="O24" s="229"/>
      <c r="P24" s="33"/>
      <c r="Q24" s="33"/>
    </row>
    <row r="25" spans="1:17" x14ac:dyDescent="0.25">
      <c r="A25" s="89" t="s">
        <v>12</v>
      </c>
      <c r="B25" s="33"/>
      <c r="C25" s="91"/>
      <c r="D25" s="90"/>
      <c r="E25" s="135"/>
      <c r="F25" s="90"/>
      <c r="G25" s="135"/>
      <c r="H25" s="90"/>
      <c r="I25" s="137"/>
      <c r="J25" s="90"/>
      <c r="K25" s="199"/>
      <c r="L25" s="158"/>
      <c r="N25" s="33"/>
      <c r="O25" s="229"/>
      <c r="P25" s="33"/>
      <c r="Q25" s="33"/>
    </row>
    <row r="26" spans="1:17" hidden="1" x14ac:dyDescent="0.25">
      <c r="A26" s="150" t="s">
        <v>281</v>
      </c>
      <c r="B26" s="57" t="s">
        <v>261</v>
      </c>
      <c r="C26" s="127">
        <v>0</v>
      </c>
      <c r="D26" s="135">
        <v>0</v>
      </c>
      <c r="E26" s="135"/>
      <c r="F26" s="135">
        <v>0</v>
      </c>
      <c r="G26" s="135"/>
      <c r="H26" s="135"/>
      <c r="I26" s="137"/>
      <c r="J26" s="90"/>
      <c r="K26" s="199"/>
      <c r="L26" s="158"/>
      <c r="N26" s="33"/>
      <c r="O26" s="229">
        <f t="shared" si="0"/>
        <v>0</v>
      </c>
      <c r="P26" s="33"/>
      <c r="Q26" s="33"/>
    </row>
    <row r="27" spans="1:17" x14ac:dyDescent="0.25">
      <c r="A27" s="147" t="s">
        <v>282</v>
      </c>
      <c r="B27" s="33" t="s">
        <v>263</v>
      </c>
      <c r="C27" s="91">
        <v>0</v>
      </c>
      <c r="D27" s="90">
        <v>0</v>
      </c>
      <c r="E27" s="135">
        <v>0</v>
      </c>
      <c r="F27" s="90">
        <v>300</v>
      </c>
      <c r="G27" s="135">
        <v>0</v>
      </c>
      <c r="H27" s="90">
        <v>500</v>
      </c>
      <c r="I27" s="137">
        <v>500</v>
      </c>
      <c r="J27" s="90">
        <v>500</v>
      </c>
      <c r="K27" s="199">
        <v>500</v>
      </c>
      <c r="L27" s="158"/>
      <c r="M27" s="222">
        <f>K27+(K27*'REVEN&amp;EXP - ALL FUNDS'!$E$5)</f>
        <v>515</v>
      </c>
      <c r="N27" s="222">
        <v>0</v>
      </c>
      <c r="O27" s="229">
        <v>0</v>
      </c>
      <c r="P27" s="33"/>
      <c r="Q27" s="33"/>
    </row>
    <row r="28" spans="1:17" x14ac:dyDescent="0.25">
      <c r="A28" s="147" t="s">
        <v>283</v>
      </c>
      <c r="B28" s="33" t="s">
        <v>222</v>
      </c>
      <c r="C28" s="91">
        <v>0</v>
      </c>
      <c r="D28" s="90">
        <v>0</v>
      </c>
      <c r="E28" s="135"/>
      <c r="F28" s="90">
        <v>0</v>
      </c>
      <c r="G28" s="135">
        <v>17.89</v>
      </c>
      <c r="H28" s="90">
        <v>1500</v>
      </c>
      <c r="I28" s="137">
        <v>1500</v>
      </c>
      <c r="J28" s="90">
        <v>750</v>
      </c>
      <c r="K28" s="199">
        <v>750</v>
      </c>
      <c r="L28" s="158"/>
      <c r="M28" s="222">
        <f>K28+(K28*'REVEN&amp;EXP - ALL FUNDS'!$E$5)</f>
        <v>772.5</v>
      </c>
      <c r="N28" s="222">
        <v>0</v>
      </c>
      <c r="O28" s="229">
        <f t="shared" si="0"/>
        <v>795.67499999999995</v>
      </c>
      <c r="P28" s="33"/>
      <c r="Q28" s="33"/>
    </row>
    <row r="29" spans="1:17" ht="16.5" thickBot="1" x14ac:dyDescent="0.3">
      <c r="A29" s="147" t="s">
        <v>284</v>
      </c>
      <c r="B29" s="33" t="s">
        <v>224</v>
      </c>
      <c r="C29" s="91">
        <v>0</v>
      </c>
      <c r="D29" s="123">
        <v>0</v>
      </c>
      <c r="E29" s="142">
        <v>0</v>
      </c>
      <c r="F29" s="90">
        <v>500</v>
      </c>
      <c r="G29" s="135">
        <v>483</v>
      </c>
      <c r="H29" s="90">
        <v>500</v>
      </c>
      <c r="I29" s="137">
        <v>500</v>
      </c>
      <c r="J29" s="90">
        <v>500</v>
      </c>
      <c r="K29" s="199">
        <v>500</v>
      </c>
      <c r="L29" s="158"/>
      <c r="M29" s="222">
        <f>K29+(K29*'REVEN&amp;EXP - ALL FUNDS'!$E$5)</f>
        <v>515</v>
      </c>
      <c r="N29" s="222">
        <v>0</v>
      </c>
      <c r="O29" s="229">
        <f t="shared" si="0"/>
        <v>530.45000000000005</v>
      </c>
      <c r="P29" s="33"/>
      <c r="Q29" s="33"/>
    </row>
    <row r="30" spans="1:17" ht="16.5" thickBot="1" x14ac:dyDescent="0.3">
      <c r="A30" s="147" t="s">
        <v>624</v>
      </c>
      <c r="B30" s="33" t="s">
        <v>351</v>
      </c>
      <c r="C30" s="91">
        <v>0</v>
      </c>
      <c r="D30" s="123">
        <v>0</v>
      </c>
      <c r="E30" s="142">
        <v>0</v>
      </c>
      <c r="F30" s="123">
        <v>0</v>
      </c>
      <c r="G30" s="142">
        <v>0</v>
      </c>
      <c r="H30" s="123">
        <v>0</v>
      </c>
      <c r="I30" s="144">
        <v>0</v>
      </c>
      <c r="J30" s="123">
        <v>322</v>
      </c>
      <c r="K30" s="200">
        <v>322</v>
      </c>
      <c r="L30" s="158"/>
      <c r="M30" s="223">
        <f>K30+(K30*'REVEN&amp;EXP - ALL FUNDS'!$E$5)</f>
        <v>331.66</v>
      </c>
      <c r="N30" s="223">
        <v>0</v>
      </c>
      <c r="O30" s="230">
        <v>360</v>
      </c>
      <c r="P30" s="33"/>
      <c r="Q30" s="33"/>
    </row>
    <row r="31" spans="1:17" ht="16.5" hidden="1" thickBot="1" x14ac:dyDescent="0.3">
      <c r="A31" s="150" t="s">
        <v>285</v>
      </c>
      <c r="B31" s="57" t="s">
        <v>267</v>
      </c>
      <c r="C31" s="151">
        <v>0</v>
      </c>
      <c r="D31" s="142">
        <v>0</v>
      </c>
      <c r="E31" s="142"/>
      <c r="F31" s="142">
        <v>0</v>
      </c>
      <c r="G31" s="142"/>
      <c r="H31" s="142"/>
      <c r="I31" s="144"/>
      <c r="J31" s="90"/>
      <c r="K31" s="199"/>
      <c r="L31" s="158"/>
      <c r="M31" s="222"/>
      <c r="N31" s="222"/>
      <c r="O31" s="229">
        <f t="shared" si="0"/>
        <v>0</v>
      </c>
      <c r="P31" s="33"/>
      <c r="Q31" s="33"/>
    </row>
    <row r="32" spans="1:17" x14ac:dyDescent="0.25">
      <c r="A32" s="277" t="s">
        <v>227</v>
      </c>
      <c r="B32" s="277"/>
      <c r="C32" s="91">
        <f>SUM(C26:C31)</f>
        <v>0</v>
      </c>
      <c r="D32" s="91">
        <f>SUM(D26:D31)</f>
        <v>0</v>
      </c>
      <c r="E32" s="127">
        <v>0</v>
      </c>
      <c r="F32" s="91">
        <v>800</v>
      </c>
      <c r="G32" s="127">
        <v>500.89</v>
      </c>
      <c r="H32" s="91">
        <v>2500</v>
      </c>
      <c r="I32" s="58">
        <f>SUM(I26:I31)</f>
        <v>2500</v>
      </c>
      <c r="J32" s="91">
        <f>SUM(J27:J30)</f>
        <v>2072</v>
      </c>
      <c r="K32" s="201">
        <f>SUM(K27:K30)</f>
        <v>2072</v>
      </c>
      <c r="L32" s="158"/>
      <c r="M32" s="225">
        <f>SUM(M27:M30)</f>
        <v>2134.16</v>
      </c>
      <c r="N32" s="225">
        <f>SUM(N27:N31)</f>
        <v>0</v>
      </c>
      <c r="O32" s="231">
        <f>SUM(O26:O31)</f>
        <v>1686.125</v>
      </c>
      <c r="P32" s="33"/>
      <c r="Q32" s="33"/>
    </row>
    <row r="33" spans="1:17" x14ac:dyDescent="0.25">
      <c r="A33" s="33"/>
      <c r="B33" s="33"/>
      <c r="C33" s="91"/>
      <c r="D33" s="90"/>
      <c r="E33" s="135"/>
      <c r="F33" s="90"/>
      <c r="G33" s="135"/>
      <c r="H33" s="90"/>
      <c r="I33" s="137"/>
      <c r="J33" s="90"/>
      <c r="K33" s="199"/>
      <c r="L33" s="158"/>
      <c r="N33" s="33"/>
      <c r="O33" s="232"/>
      <c r="P33" s="33"/>
      <c r="Q33" s="33"/>
    </row>
    <row r="34" spans="1:17" x14ac:dyDescent="0.25">
      <c r="B34" s="153" t="s">
        <v>286</v>
      </c>
      <c r="C34" s="107">
        <f t="shared" ref="C34:J34" si="1">C19+C23+C32</f>
        <v>70144.536874999991</v>
      </c>
      <c r="D34" s="107">
        <f t="shared" si="1"/>
        <v>64669.479999999996</v>
      </c>
      <c r="E34" s="107">
        <f t="shared" si="1"/>
        <v>30040.82</v>
      </c>
      <c r="F34" s="107">
        <v>55638.576000000001</v>
      </c>
      <c r="G34" s="107">
        <v>97766.469999999987</v>
      </c>
      <c r="H34" s="107">
        <v>64249.79</v>
      </c>
      <c r="I34" s="107">
        <f t="shared" si="1"/>
        <v>64249</v>
      </c>
      <c r="J34" s="107">
        <f t="shared" si="1"/>
        <v>63228</v>
      </c>
      <c r="K34" s="107">
        <f t="shared" ref="K34" si="2">K19+K23+K32</f>
        <v>63228</v>
      </c>
      <c r="L34" s="245"/>
      <c r="M34" s="240">
        <f>M19+M23+M32</f>
        <v>84379.5</v>
      </c>
      <c r="N34" s="240">
        <f t="shared" ref="N34:O34" si="3">N19+N23+N32</f>
        <v>23719</v>
      </c>
      <c r="O34" s="243">
        <f t="shared" si="3"/>
        <v>86511.775200000004</v>
      </c>
      <c r="P34" s="33"/>
      <c r="Q34" s="33"/>
    </row>
    <row r="35" spans="1:17" x14ac:dyDescent="0.25">
      <c r="N35" s="33"/>
      <c r="O35" s="33"/>
      <c r="P35" s="33"/>
      <c r="Q35" s="33"/>
    </row>
    <row r="36" spans="1:17" hidden="1" x14ac:dyDescent="0.25">
      <c r="A36" s="156" t="s">
        <v>287</v>
      </c>
    </row>
    <row r="37" spans="1:17" ht="193.5" hidden="1" customHeight="1" x14ac:dyDescent="0.25">
      <c r="A37" s="279" t="s">
        <v>288</v>
      </c>
      <c r="B37" s="279"/>
      <c r="C37" s="279"/>
      <c r="D37" s="279"/>
      <c r="E37" s="161"/>
    </row>
    <row r="38" spans="1:17" hidden="1" x14ac:dyDescent="0.25"/>
    <row r="39" spans="1:17" hidden="1" x14ac:dyDescent="0.25">
      <c r="B39" s="184" t="s">
        <v>660</v>
      </c>
      <c r="C39" s="184"/>
      <c r="D39" s="185"/>
      <c r="E39" s="185"/>
      <c r="F39" s="185"/>
      <c r="G39" s="185"/>
      <c r="H39" s="185"/>
      <c r="I39" s="182"/>
      <c r="J39" s="182"/>
      <c r="K39" s="182"/>
    </row>
  </sheetData>
  <sortState ref="A11:J18">
    <sortCondition ref="A11"/>
  </sortState>
  <mergeCells count="3">
    <mergeCell ref="A19:B19"/>
    <mergeCell ref="A32:B32"/>
    <mergeCell ref="A37:D37"/>
  </mergeCells>
  <pageMargins left="0.7" right="0.7" top="0.75" bottom="0.75" header="0.3" footer="0.3"/>
  <pageSetup paperSiz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54"/>
  <sheetViews>
    <sheetView topLeftCell="A19" zoomScale="90" zoomScaleNormal="90" workbookViewId="0">
      <selection activeCell="S45" sqref="S45"/>
    </sheetView>
  </sheetViews>
  <sheetFormatPr defaultColWidth="9.140625" defaultRowHeight="15.75" x14ac:dyDescent="0.25"/>
  <cols>
    <col min="1" max="1" width="12" style="34" customWidth="1"/>
    <col min="2" max="2" width="39.140625" style="34" customWidth="1"/>
    <col min="3" max="3" width="11" style="34" hidden="1" customWidth="1"/>
    <col min="4" max="5" width="10.85546875" style="34" hidden="1" customWidth="1"/>
    <col min="6" max="6" width="17.28515625" style="34" hidden="1" customWidth="1"/>
    <col min="7" max="8" width="14.85546875" style="34" hidden="1" customWidth="1"/>
    <col min="9" max="11" width="12.28515625" style="34" hidden="1" customWidth="1"/>
    <col min="12" max="12" width="3.5703125" style="34" hidden="1" customWidth="1"/>
    <col min="13" max="13" width="13.7109375" style="34" customWidth="1"/>
    <col min="14" max="14" width="12" style="34" customWidth="1"/>
    <col min="15" max="15" width="13.42578125" style="34" customWidth="1"/>
    <col min="16" max="16" width="9.140625" style="33"/>
    <col min="17" max="16384" width="9.140625" style="34"/>
  </cols>
  <sheetData>
    <row r="1" spans="1:16" x14ac:dyDescent="0.25">
      <c r="A1" s="32" t="s">
        <v>563</v>
      </c>
      <c r="B1" s="32"/>
      <c r="C1" s="32"/>
      <c r="D1" s="32"/>
      <c r="E1" s="32"/>
      <c r="F1" s="32"/>
      <c r="G1" s="32"/>
      <c r="H1" s="32"/>
    </row>
    <row r="2" spans="1:16" x14ac:dyDescent="0.25">
      <c r="A2" s="32" t="s">
        <v>564</v>
      </c>
      <c r="B2" s="32"/>
      <c r="C2" s="32"/>
      <c r="D2" s="32"/>
      <c r="E2" s="32"/>
      <c r="F2" s="32"/>
      <c r="G2" s="32"/>
      <c r="H2" s="32"/>
    </row>
    <row r="3" spans="1:16" x14ac:dyDescent="0.25">
      <c r="A3" s="32" t="str">
        <f>+'GF - PERMITTING'!A3</f>
        <v>FISCAL YEAR 2023-2024</v>
      </c>
      <c r="B3" s="32"/>
      <c r="C3" s="32"/>
      <c r="D3" s="32"/>
      <c r="E3" s="32"/>
      <c r="F3" s="32"/>
      <c r="G3" s="32"/>
      <c r="H3" s="32"/>
    </row>
    <row r="5" spans="1:16" s="40" customFormat="1" ht="49.5" customHeight="1" thickBot="1" x14ac:dyDescent="0.3">
      <c r="A5" s="79" t="s">
        <v>692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">
        <v>670</v>
      </c>
      <c r="K5" s="197" t="s">
        <v>671</v>
      </c>
      <c r="L5" s="157"/>
      <c r="M5" s="120" t="s">
        <v>703</v>
      </c>
      <c r="N5" s="37" t="s">
        <v>687</v>
      </c>
      <c r="O5" s="227" t="s">
        <v>685</v>
      </c>
      <c r="P5" s="39"/>
    </row>
    <row r="6" spans="1:16" hidden="1" x14ac:dyDescent="0.25">
      <c r="A6" s="33"/>
      <c r="B6" s="33"/>
      <c r="C6" s="33"/>
      <c r="D6" s="33"/>
      <c r="E6" s="57"/>
      <c r="G6" s="59"/>
      <c r="I6" s="71"/>
      <c r="K6" s="198"/>
      <c r="L6" s="158"/>
      <c r="O6" s="228"/>
    </row>
    <row r="7" spans="1:16" hidden="1" x14ac:dyDescent="0.25">
      <c r="A7" s="39" t="s">
        <v>195</v>
      </c>
      <c r="B7" s="33"/>
      <c r="C7" s="33"/>
      <c r="D7" s="33"/>
      <c r="E7" s="57"/>
      <c r="G7" s="59"/>
      <c r="I7" s="71"/>
      <c r="K7" s="198"/>
      <c r="L7" s="158"/>
      <c r="O7" s="228"/>
    </row>
    <row r="8" spans="1:16" hidden="1" x14ac:dyDescent="0.25">
      <c r="A8" s="139" t="s">
        <v>289</v>
      </c>
      <c r="B8" s="106" t="s">
        <v>290</v>
      </c>
      <c r="C8" s="33"/>
      <c r="D8" s="33"/>
      <c r="E8" s="57"/>
      <c r="G8" s="59"/>
      <c r="I8" s="71"/>
      <c r="K8" s="198"/>
      <c r="L8" s="158"/>
      <c r="O8" s="228"/>
    </row>
    <row r="9" spans="1:16" ht="12.75" hidden="1" customHeight="1" x14ac:dyDescent="0.25">
      <c r="A9" s="33"/>
      <c r="B9" s="33"/>
      <c r="C9" s="33"/>
      <c r="D9" s="33"/>
      <c r="E9" s="57"/>
      <c r="G9" s="136"/>
      <c r="H9" s="116"/>
      <c r="I9" s="71"/>
      <c r="K9" s="198"/>
      <c r="L9" s="158"/>
      <c r="O9" s="228"/>
    </row>
    <row r="10" spans="1:16" ht="17.25" customHeight="1" x14ac:dyDescent="0.25">
      <c r="A10" s="89" t="s">
        <v>198</v>
      </c>
      <c r="B10" s="33"/>
      <c r="C10" s="33"/>
      <c r="D10" s="33"/>
      <c r="E10" s="57"/>
      <c r="G10" s="59"/>
      <c r="I10" s="71"/>
      <c r="K10" s="198"/>
      <c r="L10" s="158"/>
      <c r="O10" s="228"/>
    </row>
    <row r="11" spans="1:16" x14ac:dyDescent="0.25">
      <c r="A11" s="147" t="s">
        <v>291</v>
      </c>
      <c r="B11" s="33" t="s">
        <v>200</v>
      </c>
      <c r="C11" s="91">
        <v>44675.91</v>
      </c>
      <c r="D11" s="90">
        <v>35000</v>
      </c>
      <c r="E11" s="135"/>
      <c r="F11" s="90">
        <v>45000</v>
      </c>
      <c r="G11" s="135">
        <v>48063.55</v>
      </c>
      <c r="H11" s="90">
        <v>52000</v>
      </c>
      <c r="I11" s="137">
        <v>40249.71</v>
      </c>
      <c r="J11" s="90">
        <v>53040</v>
      </c>
      <c r="K11" s="199">
        <v>53040</v>
      </c>
      <c r="L11" s="158"/>
      <c r="M11" s="222">
        <f>K11+(K11*'REVEN&amp;EXP - ALL FUNDS'!$E$6)</f>
        <v>55161.599999999999</v>
      </c>
      <c r="N11" s="222">
        <v>0</v>
      </c>
      <c r="O11" s="229">
        <v>41600</v>
      </c>
    </row>
    <row r="12" spans="1:16" x14ac:dyDescent="0.25">
      <c r="A12" s="147" t="s">
        <v>292</v>
      </c>
      <c r="B12" s="33" t="s">
        <v>249</v>
      </c>
      <c r="C12" s="91">
        <v>5790</v>
      </c>
      <c r="D12" s="90">
        <v>0</v>
      </c>
      <c r="E12" s="135"/>
      <c r="F12" s="90">
        <v>3000</v>
      </c>
      <c r="G12" s="135">
        <v>3796.96</v>
      </c>
      <c r="H12" s="90">
        <v>3000</v>
      </c>
      <c r="I12" s="137">
        <v>3825</v>
      </c>
      <c r="J12" s="90">
        <v>3000</v>
      </c>
      <c r="K12" s="199">
        <v>3000</v>
      </c>
      <c r="L12" s="158"/>
      <c r="M12" s="222">
        <f>K12+(K12*'REVEN&amp;EXP - ALL FUNDS'!$E$5)</f>
        <v>3090</v>
      </c>
      <c r="N12" s="222">
        <v>0</v>
      </c>
      <c r="O12" s="229">
        <f t="shared" ref="O12:O36" si="0">(M12*3%)+M12</f>
        <v>3182.7</v>
      </c>
    </row>
    <row r="13" spans="1:16" x14ac:dyDescent="0.25">
      <c r="A13" s="147" t="s">
        <v>293</v>
      </c>
      <c r="B13" s="33" t="s">
        <v>202</v>
      </c>
      <c r="C13" s="91">
        <f>((10.75+0.88)*12)*2</f>
        <v>279.12</v>
      </c>
      <c r="D13" s="90">
        <f>((10.75+0.88)*12)</f>
        <v>139.56</v>
      </c>
      <c r="E13" s="135"/>
      <c r="F13" s="90">
        <v>140</v>
      </c>
      <c r="G13" s="135">
        <v>34.630000000000003</v>
      </c>
      <c r="H13" s="90">
        <v>140</v>
      </c>
      <c r="I13" s="137">
        <v>52.65</v>
      </c>
      <c r="J13" s="90">
        <v>70</v>
      </c>
      <c r="K13" s="199">
        <v>70</v>
      </c>
      <c r="L13" s="158"/>
      <c r="M13" s="222">
        <f>K13+(K13*'REVEN&amp;EXP - ALL FUNDS'!$E$5)</f>
        <v>72.099999999999994</v>
      </c>
      <c r="N13" s="222">
        <v>0</v>
      </c>
      <c r="O13" s="229">
        <f t="shared" si="0"/>
        <v>74.262999999999991</v>
      </c>
    </row>
    <row r="14" spans="1:16" x14ac:dyDescent="0.25">
      <c r="A14" s="147" t="s">
        <v>294</v>
      </c>
      <c r="B14" s="33" t="s">
        <v>204</v>
      </c>
      <c r="C14" s="91">
        <v>731</v>
      </c>
      <c r="D14" s="90">
        <v>600</v>
      </c>
      <c r="E14" s="135"/>
      <c r="F14" s="90">
        <v>800</v>
      </c>
      <c r="G14" s="135">
        <v>764.85</v>
      </c>
      <c r="H14" s="90">
        <v>797.5</v>
      </c>
      <c r="I14" s="137">
        <v>571.52</v>
      </c>
      <c r="J14" s="90">
        <v>814</v>
      </c>
      <c r="K14" s="199">
        <v>814</v>
      </c>
      <c r="L14" s="158"/>
      <c r="M14" s="222">
        <f>K14+(K14*'REVEN&amp;EXP - ALL FUNDS'!$E$5)</f>
        <v>838.42</v>
      </c>
      <c r="N14" s="222">
        <v>0</v>
      </c>
      <c r="O14" s="229">
        <f t="shared" si="0"/>
        <v>863.57259999999997</v>
      </c>
    </row>
    <row r="15" spans="1:16" x14ac:dyDescent="0.25">
      <c r="A15" s="147" t="s">
        <v>296</v>
      </c>
      <c r="B15" s="33" t="s">
        <v>208</v>
      </c>
      <c r="C15" s="91">
        <v>2842</v>
      </c>
      <c r="D15" s="90">
        <v>0</v>
      </c>
      <c r="E15" s="135"/>
      <c r="F15" s="90">
        <v>2678</v>
      </c>
      <c r="G15" s="135">
        <v>1760.39</v>
      </c>
      <c r="H15" s="90">
        <v>3069</v>
      </c>
      <c r="I15" s="137">
        <v>1508.53</v>
      </c>
      <c r="J15" s="90">
        <v>2768</v>
      </c>
      <c r="K15" s="199">
        <v>2768</v>
      </c>
      <c r="L15" s="158"/>
      <c r="M15" s="222">
        <f>K15+(K15*'REVEN&amp;EXP - ALL FUNDS'!$E$5)</f>
        <v>2851.04</v>
      </c>
      <c r="N15" s="222">
        <v>0</v>
      </c>
      <c r="O15" s="229">
        <f t="shared" si="0"/>
        <v>2936.5711999999999</v>
      </c>
    </row>
    <row r="16" spans="1:16" x14ac:dyDescent="0.25">
      <c r="A16" s="147" t="s">
        <v>297</v>
      </c>
      <c r="B16" s="33" t="s">
        <v>210</v>
      </c>
      <c r="C16" s="91">
        <f>(728.72*12)*2</f>
        <v>17489.28</v>
      </c>
      <c r="D16" s="90">
        <v>8900</v>
      </c>
      <c r="E16" s="135"/>
      <c r="F16" s="90">
        <v>9199</v>
      </c>
      <c r="G16" s="135">
        <v>10209.59</v>
      </c>
      <c r="H16" s="90">
        <v>9357</v>
      </c>
      <c r="I16" s="137">
        <v>9492.36</v>
      </c>
      <c r="J16" s="90">
        <v>9543</v>
      </c>
      <c r="K16" s="199">
        <v>9543</v>
      </c>
      <c r="L16" s="158"/>
      <c r="M16" s="222">
        <f>K16+(K16*'REVEN&amp;EXP - ALL FUNDS'!$E$5)</f>
        <v>9829.2900000000009</v>
      </c>
      <c r="N16" s="222">
        <v>0</v>
      </c>
      <c r="O16" s="229">
        <v>10729</v>
      </c>
    </row>
    <row r="17" spans="1:15" x14ac:dyDescent="0.25">
      <c r="A17" s="147" t="s">
        <v>298</v>
      </c>
      <c r="B17" s="33" t="s">
        <v>212</v>
      </c>
      <c r="C17" s="91">
        <v>0</v>
      </c>
      <c r="D17" s="90">
        <v>0</v>
      </c>
      <c r="E17" s="135"/>
      <c r="F17" s="90">
        <v>0</v>
      </c>
      <c r="G17" s="135"/>
      <c r="H17" s="90">
        <v>4572</v>
      </c>
      <c r="I17" s="137">
        <v>2998.29</v>
      </c>
      <c r="J17" s="90">
        <v>2998</v>
      </c>
      <c r="K17" s="199">
        <v>2998</v>
      </c>
      <c r="L17" s="158"/>
      <c r="M17" s="222">
        <f>K17+(K17*'REVEN&amp;EXP - ALL FUNDS'!$E$5)</f>
        <v>3087.94</v>
      </c>
      <c r="N17" s="222">
        <v>0</v>
      </c>
      <c r="O17" s="229">
        <f t="shared" si="0"/>
        <v>3180.5781999999999</v>
      </c>
    </row>
    <row r="18" spans="1:15" ht="16.5" thickBot="1" x14ac:dyDescent="0.3">
      <c r="A18" s="33" t="s">
        <v>295</v>
      </c>
      <c r="B18" s="33" t="s">
        <v>206</v>
      </c>
      <c r="C18" s="94"/>
      <c r="D18" s="90">
        <v>0</v>
      </c>
      <c r="E18" s="135">
        <v>0</v>
      </c>
      <c r="F18" s="90">
        <v>0</v>
      </c>
      <c r="G18" s="135">
        <v>0</v>
      </c>
      <c r="H18" s="90">
        <v>3224</v>
      </c>
      <c r="I18" s="137">
        <v>2327.9499999999998</v>
      </c>
      <c r="J18" s="90">
        <v>3474</v>
      </c>
      <c r="K18" s="199">
        <v>3474</v>
      </c>
      <c r="L18" s="158"/>
      <c r="M18" s="222">
        <f>K18+(K18*'REVEN&amp;EXP - ALL FUNDS'!$E$5)</f>
        <v>3578.22</v>
      </c>
      <c r="N18" s="222">
        <v>0</v>
      </c>
      <c r="O18" s="229">
        <f t="shared" si="0"/>
        <v>3685.5665999999997</v>
      </c>
    </row>
    <row r="19" spans="1:15" x14ac:dyDescent="0.25">
      <c r="A19" s="147" t="s">
        <v>299</v>
      </c>
      <c r="B19" s="33" t="s">
        <v>231</v>
      </c>
      <c r="C19" s="91">
        <v>1845</v>
      </c>
      <c r="D19" s="90">
        <v>540</v>
      </c>
      <c r="E19" s="135"/>
      <c r="F19" s="90">
        <v>810</v>
      </c>
      <c r="G19" s="135">
        <v>742.5</v>
      </c>
      <c r="H19" s="90">
        <v>810</v>
      </c>
      <c r="I19" s="137">
        <v>562.5</v>
      </c>
      <c r="J19" s="90">
        <v>810</v>
      </c>
      <c r="K19" s="199">
        <v>810</v>
      </c>
      <c r="L19" s="158"/>
      <c r="M19" s="222">
        <f>K19+(K19*'REVEN&amp;EXP - ALL FUNDS'!$E$5)</f>
        <v>834.3</v>
      </c>
      <c r="N19" s="222">
        <v>0</v>
      </c>
      <c r="O19" s="229">
        <v>360</v>
      </c>
    </row>
    <row r="20" spans="1:15" ht="16.5" thickBot="1" x14ac:dyDescent="0.3">
      <c r="A20" s="147" t="s">
        <v>301</v>
      </c>
      <c r="B20" s="33" t="s">
        <v>302</v>
      </c>
      <c r="C20" s="94">
        <v>1050</v>
      </c>
      <c r="D20" s="123">
        <v>0</v>
      </c>
      <c r="E20" s="142"/>
      <c r="F20" s="123">
        <v>1200</v>
      </c>
      <c r="G20" s="142">
        <v>1200</v>
      </c>
      <c r="H20" s="123">
        <v>1200</v>
      </c>
      <c r="I20" s="144">
        <v>650</v>
      </c>
      <c r="J20" s="123">
        <v>1200</v>
      </c>
      <c r="K20" s="200">
        <v>1200</v>
      </c>
      <c r="L20" s="158"/>
      <c r="M20" s="223">
        <f>K20+(K20*'REVEN&amp;EXP - ALL FUNDS'!$E$5)</f>
        <v>1236</v>
      </c>
      <c r="N20" s="223">
        <v>0</v>
      </c>
      <c r="O20" s="230">
        <f t="shared" si="0"/>
        <v>1273.08</v>
      </c>
    </row>
    <row r="21" spans="1:15" x14ac:dyDescent="0.25">
      <c r="A21" s="277" t="s">
        <v>213</v>
      </c>
      <c r="B21" s="277"/>
      <c r="C21" s="91">
        <f>SUM(C11:C18)</f>
        <v>71807.31</v>
      </c>
      <c r="D21" s="91">
        <f>SUM(D11:D20)</f>
        <v>45179.56</v>
      </c>
      <c r="E21" s="127"/>
      <c r="F21" s="91">
        <v>62827</v>
      </c>
      <c r="G21" s="127">
        <v>66572.47</v>
      </c>
      <c r="H21" s="91">
        <v>78169.5</v>
      </c>
      <c r="I21" s="58">
        <f>SUM(I11:I20)</f>
        <v>62238.509999999995</v>
      </c>
      <c r="J21" s="91">
        <f>SUM(J11:J20)</f>
        <v>77717</v>
      </c>
      <c r="K21" s="201">
        <f>SUM(K11:K20)</f>
        <v>77717</v>
      </c>
      <c r="L21" s="158"/>
      <c r="M21" s="225">
        <f>SUM(M11:M20)</f>
        <v>80578.91</v>
      </c>
      <c r="N21" s="225">
        <f>SUM(N11:N20)</f>
        <v>0</v>
      </c>
      <c r="O21" s="231">
        <f>SUM(O11:O20)</f>
        <v>67885.331600000005</v>
      </c>
    </row>
    <row r="22" spans="1:15" x14ac:dyDescent="0.25">
      <c r="A22" s="33"/>
      <c r="B22" s="33"/>
      <c r="C22" s="126"/>
      <c r="D22" s="90"/>
      <c r="E22" s="135"/>
      <c r="F22" s="90"/>
      <c r="G22" s="135"/>
      <c r="H22" s="90"/>
      <c r="I22" s="137"/>
      <c r="J22" s="90"/>
      <c r="K22" s="199"/>
      <c r="L22" s="158"/>
      <c r="M22" s="33"/>
      <c r="N22" s="33"/>
      <c r="O22" s="229"/>
    </row>
    <row r="23" spans="1:15" x14ac:dyDescent="0.25">
      <c r="A23" s="89" t="s">
        <v>12</v>
      </c>
      <c r="B23" s="33"/>
      <c r="C23" s="91"/>
      <c r="D23" s="90"/>
      <c r="E23" s="135"/>
      <c r="F23" s="90"/>
      <c r="G23" s="135"/>
      <c r="H23" s="90"/>
      <c r="I23" s="137"/>
      <c r="J23" s="90"/>
      <c r="K23" s="199"/>
      <c r="L23" s="158"/>
      <c r="M23" s="33"/>
      <c r="N23" s="33"/>
      <c r="O23" s="229"/>
    </row>
    <row r="24" spans="1:15" x14ac:dyDescent="0.25">
      <c r="A24" s="147" t="s">
        <v>303</v>
      </c>
      <c r="B24" s="33" t="s">
        <v>304</v>
      </c>
      <c r="C24" s="91">
        <v>0</v>
      </c>
      <c r="D24" s="90">
        <v>1000</v>
      </c>
      <c r="E24" s="135">
        <v>4073</v>
      </c>
      <c r="F24" s="90">
        <v>1000</v>
      </c>
      <c r="G24" s="135">
        <v>5981.55</v>
      </c>
      <c r="H24" s="90">
        <v>1000</v>
      </c>
      <c r="I24" s="137">
        <v>464.3</v>
      </c>
      <c r="J24" s="90">
        <f>+L24</f>
        <v>0</v>
      </c>
      <c r="K24" s="199">
        <f>+M24</f>
        <v>0</v>
      </c>
      <c r="L24" s="158"/>
      <c r="M24" s="222">
        <v>0</v>
      </c>
      <c r="N24" s="222">
        <v>0</v>
      </c>
      <c r="O24" s="229">
        <f t="shared" si="0"/>
        <v>0</v>
      </c>
    </row>
    <row r="25" spans="1:15" x14ac:dyDescent="0.25">
      <c r="A25" s="147" t="s">
        <v>305</v>
      </c>
      <c r="B25" s="33" t="s">
        <v>306</v>
      </c>
      <c r="C25" s="91">
        <v>24620</v>
      </c>
      <c r="D25" s="90">
        <v>14750</v>
      </c>
      <c r="E25" s="135">
        <f>29530.34-936.42</f>
        <v>28593.920000000002</v>
      </c>
      <c r="F25" s="90">
        <v>25000</v>
      </c>
      <c r="G25" s="135">
        <v>11300.38</v>
      </c>
      <c r="H25" s="90">
        <v>25000</v>
      </c>
      <c r="I25" s="137">
        <v>8194.39</v>
      </c>
      <c r="J25" s="172">
        <v>106615</v>
      </c>
      <c r="K25" s="199">
        <v>106615</v>
      </c>
      <c r="L25" s="158"/>
      <c r="M25" s="222">
        <f>K25+(K25*'REVEN&amp;EXP - ALL FUNDS'!$E$5)</f>
        <v>109813.45</v>
      </c>
      <c r="N25" s="222">
        <v>0</v>
      </c>
      <c r="O25" s="229">
        <v>100000</v>
      </c>
    </row>
    <row r="26" spans="1:15" x14ac:dyDescent="0.25">
      <c r="A26" s="147" t="s">
        <v>307</v>
      </c>
      <c r="B26" s="33" t="s">
        <v>308</v>
      </c>
      <c r="C26" s="91">
        <v>1784</v>
      </c>
      <c r="D26" s="90">
        <v>2000</v>
      </c>
      <c r="E26" s="135">
        <v>936.42</v>
      </c>
      <c r="F26" s="90">
        <v>2000</v>
      </c>
      <c r="G26" s="135">
        <v>274.98</v>
      </c>
      <c r="H26" s="90">
        <v>2000</v>
      </c>
      <c r="I26" s="137">
        <v>0</v>
      </c>
      <c r="J26" s="90">
        <v>1000</v>
      </c>
      <c r="K26" s="199">
        <v>1000</v>
      </c>
      <c r="L26" s="158"/>
      <c r="M26" s="222">
        <f>K26+(K26*'REVEN&amp;EXP - ALL FUNDS'!$E$5)</f>
        <v>1030</v>
      </c>
      <c r="N26" s="222">
        <v>0</v>
      </c>
      <c r="O26" s="229">
        <f t="shared" si="0"/>
        <v>1060.9000000000001</v>
      </c>
    </row>
    <row r="27" spans="1:15" x14ac:dyDescent="0.25">
      <c r="A27" s="147" t="s">
        <v>309</v>
      </c>
      <c r="B27" s="33" t="s">
        <v>310</v>
      </c>
      <c r="C27" s="91">
        <v>7030</v>
      </c>
      <c r="D27" s="90">
        <v>6000</v>
      </c>
      <c r="E27" s="135">
        <v>3780.03</v>
      </c>
      <c r="F27" s="90">
        <v>5000</v>
      </c>
      <c r="G27" s="135">
        <v>3024.86</v>
      </c>
      <c r="H27" s="90">
        <v>5000</v>
      </c>
      <c r="I27" s="137">
        <v>50.45</v>
      </c>
      <c r="J27" s="90">
        <v>5000</v>
      </c>
      <c r="K27" s="199">
        <v>5000</v>
      </c>
      <c r="L27" s="158"/>
      <c r="M27" s="222">
        <f>K27+(K27*'REVEN&amp;EXP - ALL FUNDS'!$E$5)</f>
        <v>5150</v>
      </c>
      <c r="N27" s="222">
        <v>0</v>
      </c>
      <c r="O27" s="229">
        <f t="shared" si="0"/>
        <v>5304.5</v>
      </c>
    </row>
    <row r="28" spans="1:15" x14ac:dyDescent="0.25">
      <c r="A28" s="147" t="s">
        <v>311</v>
      </c>
      <c r="B28" s="33" t="s">
        <v>312</v>
      </c>
      <c r="C28" s="91">
        <v>2173</v>
      </c>
      <c r="D28" s="90">
        <v>6000</v>
      </c>
      <c r="E28" s="135">
        <f>3781.52+69.75</f>
        <v>3851.27</v>
      </c>
      <c r="F28" s="90">
        <v>4000</v>
      </c>
      <c r="G28" s="135">
        <v>4262.1899999999996</v>
      </c>
      <c r="H28" s="90">
        <v>4000</v>
      </c>
      <c r="I28" s="137">
        <v>1377.32</v>
      </c>
      <c r="J28" s="90">
        <v>4000</v>
      </c>
      <c r="K28" s="199">
        <v>4000</v>
      </c>
      <c r="L28" s="158"/>
      <c r="M28" s="222">
        <f>K28+(K28*'REVEN&amp;EXP - ALL FUNDS'!$E$5)</f>
        <v>4120</v>
      </c>
      <c r="N28" s="222">
        <v>0</v>
      </c>
      <c r="O28" s="229">
        <f t="shared" si="0"/>
        <v>4243.6000000000004</v>
      </c>
    </row>
    <row r="29" spans="1:15" x14ac:dyDescent="0.25">
      <c r="A29" s="147" t="s">
        <v>313</v>
      </c>
      <c r="B29" s="33" t="s">
        <v>314</v>
      </c>
      <c r="C29" s="91">
        <v>2247</v>
      </c>
      <c r="D29" s="90">
        <v>3500</v>
      </c>
      <c r="E29" s="135">
        <v>2451.98</v>
      </c>
      <c r="F29" s="90">
        <v>3500</v>
      </c>
      <c r="G29" s="135">
        <v>1915.31</v>
      </c>
      <c r="H29" s="90">
        <v>3500</v>
      </c>
      <c r="I29" s="137">
        <v>2604.16</v>
      </c>
      <c r="J29" s="90">
        <v>4000</v>
      </c>
      <c r="K29" s="199">
        <v>4000</v>
      </c>
      <c r="L29" s="158"/>
      <c r="M29" s="222">
        <f>K29+(K29*'REVEN&amp;EXP - ALL FUNDS'!$E$5)</f>
        <v>4120</v>
      </c>
      <c r="N29" s="222">
        <v>0</v>
      </c>
      <c r="O29" s="229">
        <f t="shared" si="0"/>
        <v>4243.6000000000004</v>
      </c>
    </row>
    <row r="30" spans="1:15" x14ac:dyDescent="0.25">
      <c r="A30" s="147" t="s">
        <v>315</v>
      </c>
      <c r="B30" s="33" t="s">
        <v>316</v>
      </c>
      <c r="C30" s="91">
        <v>7765</v>
      </c>
      <c r="D30" s="90">
        <v>6500</v>
      </c>
      <c r="E30" s="135">
        <v>4751.2700000000004</v>
      </c>
      <c r="F30" s="90">
        <v>4000</v>
      </c>
      <c r="G30" s="135">
        <v>5041.6000000000004</v>
      </c>
      <c r="H30" s="90">
        <v>4000</v>
      </c>
      <c r="I30" s="137">
        <v>3824.18</v>
      </c>
      <c r="J30" s="90">
        <v>5200</v>
      </c>
      <c r="K30" s="199">
        <v>5200</v>
      </c>
      <c r="L30" s="158"/>
      <c r="M30" s="222">
        <f>K30+(K30*'REVEN&amp;EXP - ALL FUNDS'!$E$5)</f>
        <v>5356</v>
      </c>
      <c r="N30" s="222">
        <v>0</v>
      </c>
      <c r="O30" s="229">
        <v>4000</v>
      </c>
    </row>
    <row r="31" spans="1:15" ht="16.5" thickBot="1" x14ac:dyDescent="0.3">
      <c r="A31" s="147" t="s">
        <v>299</v>
      </c>
      <c r="B31" s="33" t="s">
        <v>317</v>
      </c>
      <c r="C31" s="91">
        <v>7765</v>
      </c>
      <c r="D31" s="123">
        <v>0</v>
      </c>
      <c r="E31" s="142">
        <v>0</v>
      </c>
      <c r="F31" s="123">
        <v>0</v>
      </c>
      <c r="G31" s="142"/>
      <c r="H31" s="123">
        <v>30000</v>
      </c>
      <c r="I31" s="144">
        <v>269.89999999999998</v>
      </c>
      <c r="J31" s="123">
        <v>10000</v>
      </c>
      <c r="K31" s="200">
        <v>10000</v>
      </c>
      <c r="L31" s="158"/>
      <c r="M31" s="223">
        <f>K31+(K31*'REVEN&amp;EXP - ALL FUNDS'!$E$5)</f>
        <v>10300</v>
      </c>
      <c r="N31" s="223">
        <v>0</v>
      </c>
      <c r="O31" s="230">
        <v>5000</v>
      </c>
    </row>
    <row r="32" spans="1:15" x14ac:dyDescent="0.25">
      <c r="A32" s="53"/>
      <c r="B32" s="53" t="s">
        <v>227</v>
      </c>
      <c r="C32" s="91">
        <f>SUM(C24:C31)</f>
        <v>53384</v>
      </c>
      <c r="D32" s="91">
        <f>SUM(D24:D31)</f>
        <v>39750</v>
      </c>
      <c r="E32" s="127">
        <f>SUM(E24:E31)</f>
        <v>48437.89</v>
      </c>
      <c r="F32" s="91">
        <v>44500</v>
      </c>
      <c r="G32" s="127">
        <v>31800.870000000003</v>
      </c>
      <c r="H32" s="91">
        <v>74500</v>
      </c>
      <c r="I32" s="58">
        <f>SUM(I24:I31)</f>
        <v>16784.7</v>
      </c>
      <c r="J32" s="91">
        <f>SUM(J24:J31)</f>
        <v>135815</v>
      </c>
      <c r="K32" s="201">
        <f>SUM(K24:K31)</f>
        <v>135815</v>
      </c>
      <c r="L32" s="158"/>
      <c r="M32" s="225">
        <f>SUM(M24:M31)</f>
        <v>139889.45000000001</v>
      </c>
      <c r="N32" s="225">
        <f>SUM(N24:N31)</f>
        <v>0</v>
      </c>
      <c r="O32" s="231">
        <f>SUM(O24:O31)</f>
        <v>123852.6</v>
      </c>
    </row>
    <row r="33" spans="1:15" x14ac:dyDescent="0.25">
      <c r="A33" s="53"/>
      <c r="B33" s="53"/>
      <c r="C33" s="91"/>
      <c r="D33" s="90"/>
      <c r="E33" s="135"/>
      <c r="F33" s="90"/>
      <c r="G33" s="135"/>
      <c r="H33" s="90"/>
      <c r="I33" s="137"/>
      <c r="J33" s="90"/>
      <c r="K33" s="199"/>
      <c r="L33" s="158"/>
      <c r="M33" s="33"/>
      <c r="N33" s="33"/>
      <c r="O33" s="229"/>
    </row>
    <row r="34" spans="1:15" x14ac:dyDescent="0.25">
      <c r="A34" s="278" t="s">
        <v>11</v>
      </c>
      <c r="B34" s="278"/>
      <c r="C34" s="91"/>
      <c r="D34" s="90"/>
      <c r="E34" s="135"/>
      <c r="F34" s="90"/>
      <c r="G34" s="135"/>
      <c r="H34" s="90"/>
      <c r="I34" s="137"/>
      <c r="J34" s="90"/>
      <c r="K34" s="199"/>
      <c r="L34" s="158"/>
      <c r="M34" s="33"/>
      <c r="N34" s="33"/>
      <c r="O34" s="229"/>
    </row>
    <row r="35" spans="1:15" x14ac:dyDescent="0.25">
      <c r="A35" s="162" t="s">
        <v>318</v>
      </c>
      <c r="B35" s="43" t="s">
        <v>319</v>
      </c>
      <c r="C35" s="91">
        <v>4150</v>
      </c>
      <c r="D35" s="90">
        <v>4150</v>
      </c>
      <c r="E35" s="135">
        <v>0</v>
      </c>
      <c r="F35" s="90">
        <v>4150</v>
      </c>
      <c r="G35" s="135">
        <v>4150</v>
      </c>
      <c r="H35" s="90">
        <v>4150</v>
      </c>
      <c r="I35" s="137"/>
      <c r="J35" s="90">
        <v>5203</v>
      </c>
      <c r="K35" s="199">
        <v>5203</v>
      </c>
      <c r="L35" s="158"/>
      <c r="M35" s="222">
        <f>K35+(K35*'REVEN&amp;EXP - ALL FUNDS'!$E$5)</f>
        <v>5359.09</v>
      </c>
      <c r="N35" s="222">
        <v>0</v>
      </c>
      <c r="O35" s="229">
        <f t="shared" si="0"/>
        <v>5519.8626999999997</v>
      </c>
    </row>
    <row r="36" spans="1:15" ht="16.5" thickBot="1" x14ac:dyDescent="0.3">
      <c r="A36" s="162" t="s">
        <v>320</v>
      </c>
      <c r="B36" s="43" t="s">
        <v>321</v>
      </c>
      <c r="C36" s="94">
        <v>2634</v>
      </c>
      <c r="D36" s="123">
        <v>2500</v>
      </c>
      <c r="E36" s="142">
        <v>2261.86</v>
      </c>
      <c r="F36" s="123">
        <v>2500</v>
      </c>
      <c r="G36" s="142">
        <v>1286.3499999999999</v>
      </c>
      <c r="H36" s="123">
        <v>2500</v>
      </c>
      <c r="I36" s="144">
        <v>428.72</v>
      </c>
      <c r="J36" s="123">
        <v>2500</v>
      </c>
      <c r="K36" s="200">
        <v>2500</v>
      </c>
      <c r="L36" s="158"/>
      <c r="M36" s="223">
        <f>K36+(K36*'REVEN&amp;EXP - ALL FUNDS'!$E$5)</f>
        <v>2575</v>
      </c>
      <c r="N36" s="223">
        <v>0</v>
      </c>
      <c r="O36" s="230">
        <f t="shared" si="0"/>
        <v>2652.25</v>
      </c>
    </row>
    <row r="37" spans="1:15" x14ac:dyDescent="0.25">
      <c r="A37" s="53"/>
      <c r="B37" s="53" t="s">
        <v>322</v>
      </c>
      <c r="C37" s="91">
        <f>SUM(C35:C36)</f>
        <v>6784</v>
      </c>
      <c r="D37" s="91">
        <f>SUM(D35:D36)</f>
        <v>6650</v>
      </c>
      <c r="E37" s="127">
        <f>SUM(E35:E36)</f>
        <v>2261.86</v>
      </c>
      <c r="F37" s="91">
        <v>6650</v>
      </c>
      <c r="G37" s="127">
        <v>5436.35</v>
      </c>
      <c r="H37" s="91">
        <v>6650</v>
      </c>
      <c r="I37" s="58">
        <f t="shared" ref="I37" si="1">SUM(I35:I36)</f>
        <v>428.72</v>
      </c>
      <c r="J37" s="91">
        <f t="shared" ref="J37:M37" si="2">SUM(J35:J36)</f>
        <v>7703</v>
      </c>
      <c r="K37" s="201">
        <f t="shared" si="2"/>
        <v>7703</v>
      </c>
      <c r="L37" s="158"/>
      <c r="M37" s="225">
        <f t="shared" si="2"/>
        <v>7934.09</v>
      </c>
      <c r="N37" s="225">
        <f>SUM(N35:N36)</f>
        <v>0</v>
      </c>
      <c r="O37" s="231">
        <f>SUM(O35:O36)</f>
        <v>8172.1126999999997</v>
      </c>
    </row>
    <row r="38" spans="1:15" x14ac:dyDescent="0.25">
      <c r="A38" s="53"/>
      <c r="B38" s="53"/>
      <c r="C38" s="91"/>
      <c r="D38" s="91"/>
      <c r="E38" s="127"/>
      <c r="F38" s="91"/>
      <c r="G38" s="127"/>
      <c r="H38" s="91"/>
      <c r="I38" s="58"/>
      <c r="J38" s="91"/>
      <c r="K38" s="201"/>
      <c r="L38" s="158"/>
      <c r="M38" s="33"/>
      <c r="N38" s="33"/>
      <c r="O38" s="232"/>
    </row>
    <row r="39" spans="1:15" x14ac:dyDescent="0.25">
      <c r="A39" s="132" t="s">
        <v>323</v>
      </c>
      <c r="B39" s="53"/>
      <c r="C39" s="91"/>
      <c r="D39" s="91"/>
      <c r="E39" s="127"/>
      <c r="F39" s="91"/>
      <c r="G39" s="127"/>
      <c r="H39" s="91"/>
      <c r="I39" s="58"/>
      <c r="J39" s="91"/>
      <c r="K39" s="201"/>
      <c r="L39" s="158"/>
      <c r="O39" s="228"/>
    </row>
    <row r="40" spans="1:15" x14ac:dyDescent="0.25">
      <c r="A40" s="147" t="s">
        <v>324</v>
      </c>
      <c r="B40" s="33" t="s">
        <v>325</v>
      </c>
      <c r="C40" s="91">
        <v>0</v>
      </c>
      <c r="D40" s="90">
        <v>0</v>
      </c>
      <c r="E40" s="135">
        <v>0</v>
      </c>
      <c r="F40" s="90">
        <v>4000</v>
      </c>
      <c r="G40" s="135">
        <v>4599.99</v>
      </c>
      <c r="H40" s="90">
        <v>0</v>
      </c>
      <c r="I40" s="137">
        <v>0</v>
      </c>
      <c r="J40" s="90">
        <f>+L40</f>
        <v>0</v>
      </c>
      <c r="K40" s="199">
        <f>+M40</f>
        <v>0</v>
      </c>
      <c r="L40" s="158"/>
      <c r="M40" s="222">
        <v>0</v>
      </c>
      <c r="N40" s="222">
        <v>0</v>
      </c>
      <c r="O40" s="229">
        <v>0</v>
      </c>
    </row>
    <row r="41" spans="1:15" x14ac:dyDescent="0.25">
      <c r="A41" s="147" t="s">
        <v>326</v>
      </c>
      <c r="B41" s="33" t="s">
        <v>327</v>
      </c>
      <c r="C41" s="91"/>
      <c r="D41" s="90"/>
      <c r="E41" s="135"/>
      <c r="F41" s="90">
        <v>0</v>
      </c>
      <c r="G41" s="135">
        <v>0</v>
      </c>
      <c r="H41" s="90">
        <v>22000</v>
      </c>
      <c r="I41" s="137">
        <v>95611</v>
      </c>
      <c r="J41" s="90">
        <v>0</v>
      </c>
      <c r="K41" s="199">
        <v>0</v>
      </c>
      <c r="L41" s="158"/>
      <c r="M41" s="222">
        <v>0</v>
      </c>
      <c r="N41" s="222">
        <v>0</v>
      </c>
      <c r="O41" s="229">
        <v>0</v>
      </c>
    </row>
    <row r="42" spans="1:15" ht="16.5" thickBot="1" x14ac:dyDescent="0.3">
      <c r="A42" s="169" t="s">
        <v>631</v>
      </c>
      <c r="B42" s="33" t="s">
        <v>635</v>
      </c>
      <c r="C42" s="94">
        <v>0</v>
      </c>
      <c r="D42" s="123">
        <v>0</v>
      </c>
      <c r="E42" s="142">
        <v>0</v>
      </c>
      <c r="F42" s="123">
        <v>0</v>
      </c>
      <c r="G42" s="142">
        <v>0</v>
      </c>
      <c r="H42" s="123">
        <v>0</v>
      </c>
      <c r="I42" s="144">
        <v>0</v>
      </c>
      <c r="J42" s="123">
        <v>0</v>
      </c>
      <c r="K42" s="200"/>
      <c r="L42" s="158"/>
      <c r="M42" s="223">
        <v>0</v>
      </c>
      <c r="N42" s="223">
        <v>0</v>
      </c>
      <c r="O42" s="230">
        <v>0</v>
      </c>
    </row>
    <row r="43" spans="1:15" x14ac:dyDescent="0.25">
      <c r="B43" s="53" t="s">
        <v>328</v>
      </c>
      <c r="C43" s="91">
        <f>SUM(C40:C42)</f>
        <v>0</v>
      </c>
      <c r="D43" s="91">
        <f>SUM(D40:D42)</f>
        <v>0</v>
      </c>
      <c r="E43" s="127">
        <v>0</v>
      </c>
      <c r="F43" s="91">
        <v>4000</v>
      </c>
      <c r="G43" s="127">
        <v>4599.99</v>
      </c>
      <c r="H43" s="91">
        <v>22000</v>
      </c>
      <c r="I43" s="58">
        <f>SUM(I40:I42)</f>
        <v>95611</v>
      </c>
      <c r="J43" s="91">
        <f>SUM(J40:J42)</f>
        <v>0</v>
      </c>
      <c r="K43" s="201">
        <f>SUM(K40:K42)</f>
        <v>0</v>
      </c>
      <c r="L43" s="158"/>
      <c r="M43" s="225">
        <f>SUM(M40:M42)</f>
        <v>0</v>
      </c>
      <c r="N43" s="225">
        <f>SUM(N40:N42)</f>
        <v>0</v>
      </c>
      <c r="O43" s="231">
        <f>SUM(O40:O42)</f>
        <v>0</v>
      </c>
    </row>
    <row r="44" spans="1:15" x14ac:dyDescent="0.25">
      <c r="D44" s="116"/>
      <c r="E44" s="136"/>
      <c r="F44" s="90"/>
      <c r="G44" s="135"/>
      <c r="H44" s="90"/>
      <c r="I44" s="137"/>
      <c r="J44" s="90"/>
      <c r="K44" s="199"/>
      <c r="L44" s="158"/>
      <c r="O44" s="228"/>
    </row>
    <row r="45" spans="1:15" x14ac:dyDescent="0.25">
      <c r="B45" s="153" t="s">
        <v>693</v>
      </c>
      <c r="C45" s="107">
        <f>C21+C32+C37+C43</f>
        <v>131975.31</v>
      </c>
      <c r="D45" s="107">
        <f>D21+D32+D37+D43</f>
        <v>91579.56</v>
      </c>
      <c r="E45" s="55">
        <f>E21+E32+E37+E43</f>
        <v>50699.75</v>
      </c>
      <c r="F45" s="107">
        <v>117977</v>
      </c>
      <c r="G45" s="55">
        <v>108409.68000000001</v>
      </c>
      <c r="H45" s="107">
        <v>181319.5</v>
      </c>
      <c r="I45" s="56">
        <f>I21+I32+I37+I43</f>
        <v>175062.93</v>
      </c>
      <c r="J45" s="107">
        <f>J21+J32+J37+J43</f>
        <v>221235</v>
      </c>
      <c r="K45" s="202">
        <f>K21+K32+K37+K43</f>
        <v>221235</v>
      </c>
      <c r="L45" s="158"/>
      <c r="M45" s="107">
        <f>M21+M32+M37+M43</f>
        <v>228402.45</v>
      </c>
      <c r="N45" s="107">
        <f>N21+N32+N37+N43</f>
        <v>0</v>
      </c>
      <c r="O45" s="251">
        <f t="shared" ref="O45" si="3">O21+O32+O37+O43</f>
        <v>199910.04430000001</v>
      </c>
    </row>
    <row r="47" spans="1:15" hidden="1" x14ac:dyDescent="0.25">
      <c r="A47" s="156" t="s">
        <v>329</v>
      </c>
    </row>
    <row r="48" spans="1:15" ht="60" hidden="1" customHeight="1" x14ac:dyDescent="0.25">
      <c r="A48" s="279" t="s">
        <v>330</v>
      </c>
      <c r="B48" s="279"/>
      <c r="C48" s="279"/>
      <c r="D48" s="279"/>
      <c r="E48" s="279"/>
      <c r="F48" s="279"/>
      <c r="G48" s="279"/>
      <c r="H48" s="163"/>
    </row>
    <row r="52" spans="1:7" hidden="1" x14ac:dyDescent="0.25">
      <c r="A52" s="186" t="s">
        <v>653</v>
      </c>
      <c r="B52" s="181" t="s">
        <v>654</v>
      </c>
      <c r="C52" s="181"/>
      <c r="D52" s="181"/>
      <c r="E52" s="181"/>
      <c r="F52" s="181"/>
    </row>
    <row r="53" spans="1:7" hidden="1" x14ac:dyDescent="0.25"/>
    <row r="54" spans="1:7" hidden="1" x14ac:dyDescent="0.25">
      <c r="B54" s="184" t="s">
        <v>660</v>
      </c>
      <c r="C54" s="184"/>
      <c r="D54" s="185"/>
      <c r="E54" s="185"/>
      <c r="F54" s="185"/>
      <c r="G54" s="185"/>
    </row>
  </sheetData>
  <sortState ref="A11:J20">
    <sortCondition ref="A11"/>
  </sortState>
  <mergeCells count="3">
    <mergeCell ref="A21:B21"/>
    <mergeCell ref="A34:B34"/>
    <mergeCell ref="A48:G48"/>
  </mergeCells>
  <pageMargins left="0.7" right="0.7" top="0.75" bottom="0.75" header="0.3" footer="0.3"/>
  <pageSetup paperSiz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P69"/>
  <sheetViews>
    <sheetView zoomScale="90" zoomScaleNormal="90" workbookViewId="0">
      <selection activeCell="P31" sqref="P31"/>
    </sheetView>
  </sheetViews>
  <sheetFormatPr defaultColWidth="9.140625" defaultRowHeight="15.75" x14ac:dyDescent="0.25"/>
  <cols>
    <col min="1" max="1" width="11.140625" style="34" customWidth="1"/>
    <col min="2" max="2" width="48.42578125" style="34" bestFit="1" customWidth="1"/>
    <col min="3" max="3" width="11.28515625" style="34" hidden="1" customWidth="1"/>
    <col min="4" max="5" width="11" style="34" hidden="1" customWidth="1"/>
    <col min="6" max="6" width="16.28515625" style="34" hidden="1" customWidth="1"/>
    <col min="7" max="9" width="14.7109375" style="34" hidden="1" customWidth="1"/>
    <col min="10" max="10" width="12.28515625" style="34" hidden="1" customWidth="1"/>
    <col min="11" max="11" width="14.28515625" style="116" hidden="1" customWidth="1"/>
    <col min="12" max="12" width="2.85546875" style="34" hidden="1" customWidth="1"/>
    <col min="13" max="13" width="15.140625" style="34" customWidth="1"/>
    <col min="14" max="14" width="12.85546875" customWidth="1"/>
    <col min="15" max="15" width="14.7109375" style="34" customWidth="1"/>
    <col min="16" max="16" width="9.140625" style="33"/>
    <col min="17" max="16384" width="9.140625" style="34"/>
  </cols>
  <sheetData>
    <row r="1" spans="1:16" x14ac:dyDescent="0.25">
      <c r="A1" s="32" t="s">
        <v>563</v>
      </c>
      <c r="B1" s="32"/>
      <c r="C1" s="32"/>
      <c r="D1" s="32"/>
      <c r="E1" s="32"/>
      <c r="F1" s="32"/>
      <c r="G1" s="32"/>
      <c r="H1" s="32"/>
    </row>
    <row r="2" spans="1:16" x14ac:dyDescent="0.25">
      <c r="A2" s="32" t="s">
        <v>564</v>
      </c>
      <c r="B2" s="32"/>
      <c r="C2" s="32"/>
      <c r="D2" s="32"/>
      <c r="E2" s="32"/>
      <c r="F2" s="32"/>
      <c r="G2" s="32"/>
      <c r="H2" s="32"/>
    </row>
    <row r="3" spans="1:16" x14ac:dyDescent="0.25">
      <c r="A3" s="32" t="str">
        <f>+'GF - DS'!A3</f>
        <v>FISCAL YEAR 2023-2024</v>
      </c>
      <c r="B3" s="32"/>
      <c r="C3" s="32"/>
      <c r="D3" s="32"/>
      <c r="E3" s="32"/>
      <c r="F3" s="32"/>
      <c r="G3" s="32"/>
      <c r="H3" s="32"/>
    </row>
    <row r="5" spans="1:16" s="40" customFormat="1" ht="46.5" customHeight="1" thickBot="1" x14ac:dyDescent="0.3">
      <c r="A5" s="79" t="s">
        <v>694</v>
      </c>
      <c r="B5" s="79"/>
      <c r="C5" s="37" t="s">
        <v>1</v>
      </c>
      <c r="D5" s="120" t="s">
        <v>2</v>
      </c>
      <c r="E5" s="121" t="str">
        <f>+'GF - REVENUE'!E5</f>
        <v>2018-19 ACTUAL</v>
      </c>
      <c r="F5" s="120" t="str">
        <f>+'GF - REVENUE'!F5</f>
        <v>FY19-20 BUDGET</v>
      </c>
      <c r="G5" s="121" t="str">
        <f>+'GF - REVENUE'!G5</f>
        <v>FY19-20 ACTUAL</v>
      </c>
      <c r="H5" s="120" t="str">
        <f>+'GF - REVENUE'!H5</f>
        <v>FY20-21 BUDGET</v>
      </c>
      <c r="I5" s="122" t="str">
        <f>+'GF - REVENUE'!I5</f>
        <v>FY20-21 ACTUAL</v>
      </c>
      <c r="J5" s="120" t="s">
        <v>670</v>
      </c>
      <c r="K5" s="197" t="s">
        <v>671</v>
      </c>
      <c r="L5" s="164"/>
      <c r="M5" s="120" t="s">
        <v>703</v>
      </c>
      <c r="N5" s="37" t="s">
        <v>687</v>
      </c>
      <c r="O5" s="227" t="s">
        <v>685</v>
      </c>
      <c r="P5" s="39"/>
    </row>
    <row r="6" spans="1:16" hidden="1" x14ac:dyDescent="0.25">
      <c r="A6" s="33"/>
      <c r="B6" s="33"/>
      <c r="C6" s="33"/>
      <c r="D6" s="33"/>
      <c r="E6" s="57"/>
      <c r="G6" s="59"/>
      <c r="I6" s="71"/>
      <c r="K6" s="204"/>
      <c r="L6" s="42"/>
      <c r="O6" s="228"/>
    </row>
    <row r="7" spans="1:16" hidden="1" x14ac:dyDescent="0.25">
      <c r="A7" s="39" t="s">
        <v>195</v>
      </c>
      <c r="B7" s="33"/>
      <c r="C7" s="33"/>
      <c r="D7" s="33"/>
      <c r="E7" s="57"/>
      <c r="G7" s="59"/>
      <c r="I7" s="71"/>
      <c r="K7" s="204"/>
      <c r="L7" s="42"/>
      <c r="O7" s="228"/>
    </row>
    <row r="8" spans="1:16" hidden="1" x14ac:dyDescent="0.25">
      <c r="A8" s="139" t="s">
        <v>331</v>
      </c>
      <c r="B8" s="106" t="s">
        <v>332</v>
      </c>
      <c r="C8" s="33"/>
      <c r="D8" s="33"/>
      <c r="E8" s="57"/>
      <c r="G8" s="59"/>
      <c r="I8" s="71"/>
      <c r="K8" s="204"/>
      <c r="L8" s="42"/>
      <c r="O8" s="228"/>
    </row>
    <row r="9" spans="1:16" hidden="1" x14ac:dyDescent="0.25">
      <c r="A9" s="33"/>
      <c r="B9" s="33"/>
      <c r="C9" s="33"/>
      <c r="D9" s="33"/>
      <c r="E9" s="57"/>
      <c r="G9" s="136"/>
      <c r="H9" s="116"/>
      <c r="I9" s="71"/>
      <c r="K9" s="204"/>
      <c r="L9" s="42"/>
      <c r="O9" s="228"/>
    </row>
    <row r="10" spans="1:16" x14ac:dyDescent="0.25">
      <c r="A10" s="89" t="s">
        <v>198</v>
      </c>
      <c r="B10" s="33"/>
      <c r="C10" s="33"/>
      <c r="D10" s="33"/>
      <c r="E10" s="57"/>
      <c r="G10" s="59"/>
      <c r="I10" s="71"/>
      <c r="K10" s="204"/>
      <c r="L10" s="42"/>
      <c r="M10" s="222"/>
      <c r="N10" s="252"/>
      <c r="O10" s="229"/>
    </row>
    <row r="11" spans="1:16" x14ac:dyDescent="0.25">
      <c r="A11" s="33" t="s">
        <v>333</v>
      </c>
      <c r="B11" s="33" t="s">
        <v>200</v>
      </c>
      <c r="C11" s="91">
        <v>166247</v>
      </c>
      <c r="D11" s="90">
        <v>132671</v>
      </c>
      <c r="E11" s="135">
        <v>0</v>
      </c>
      <c r="F11" s="90">
        <v>145787</v>
      </c>
      <c r="G11" s="135">
        <v>147093.12</v>
      </c>
      <c r="H11" s="90">
        <v>154606</v>
      </c>
      <c r="I11" s="137">
        <v>120566.44</v>
      </c>
      <c r="J11" s="90">
        <v>101414.92</v>
      </c>
      <c r="K11" s="199">
        <f>J11</f>
        <v>101414.92</v>
      </c>
      <c r="L11" s="42"/>
      <c r="M11" s="222">
        <v>120215</v>
      </c>
      <c r="N11" s="252">
        <v>0</v>
      </c>
      <c r="O11" s="229">
        <f t="shared" ref="O11:O47" si="0">(M11*3%)+M11</f>
        <v>123821.45</v>
      </c>
    </row>
    <row r="12" spans="1:16" x14ac:dyDescent="0.25">
      <c r="A12" s="166"/>
      <c r="B12" s="33" t="s">
        <v>651</v>
      </c>
      <c r="C12" s="91"/>
      <c r="D12" s="90"/>
      <c r="E12" s="135"/>
      <c r="F12" s="90"/>
      <c r="G12" s="135"/>
      <c r="H12" s="90"/>
      <c r="I12" s="137"/>
      <c r="J12" s="90">
        <v>45760</v>
      </c>
      <c r="K12" s="199">
        <f t="shared" ref="K12:K13" si="1">J12</f>
        <v>45760</v>
      </c>
      <c r="L12" s="42"/>
      <c r="M12" s="222">
        <v>52000</v>
      </c>
      <c r="N12" s="252">
        <v>0</v>
      </c>
      <c r="O12" s="229" t="s">
        <v>705</v>
      </c>
    </row>
    <row r="13" spans="1:16" x14ac:dyDescent="0.25">
      <c r="A13" s="33" t="s">
        <v>334</v>
      </c>
      <c r="B13" s="33" t="s">
        <v>249</v>
      </c>
      <c r="C13" s="91">
        <v>0</v>
      </c>
      <c r="D13" s="90">
        <v>0</v>
      </c>
      <c r="E13" s="135">
        <v>0</v>
      </c>
      <c r="F13" s="90">
        <v>2000</v>
      </c>
      <c r="G13" s="135">
        <v>624.9</v>
      </c>
      <c r="H13" s="90">
        <v>2000</v>
      </c>
      <c r="I13" s="137">
        <v>1474.5</v>
      </c>
      <c r="J13" s="90">
        <v>2500</v>
      </c>
      <c r="K13" s="199">
        <f t="shared" si="1"/>
        <v>2500</v>
      </c>
      <c r="L13" s="42"/>
      <c r="M13" s="222">
        <v>2500</v>
      </c>
      <c r="N13" s="252">
        <v>0</v>
      </c>
      <c r="O13" s="229">
        <f t="shared" si="0"/>
        <v>2575</v>
      </c>
    </row>
    <row r="14" spans="1:16" x14ac:dyDescent="0.25">
      <c r="A14" s="33" t="s">
        <v>335</v>
      </c>
      <c r="B14" s="33" t="s">
        <v>336</v>
      </c>
      <c r="C14" s="91">
        <f>((10.75+0.88)*12)*4</f>
        <v>558.24</v>
      </c>
      <c r="D14" s="90">
        <f>((10.75+0.88)*12)*3</f>
        <v>418.68</v>
      </c>
      <c r="E14" s="135">
        <v>0</v>
      </c>
      <c r="F14" s="90">
        <v>419</v>
      </c>
      <c r="G14" s="135">
        <v>98.52</v>
      </c>
      <c r="H14" s="90">
        <v>419</v>
      </c>
      <c r="I14" s="137">
        <v>157.94999999999999</v>
      </c>
      <c r="J14" s="90">
        <v>211</v>
      </c>
      <c r="K14" s="199">
        <v>105</v>
      </c>
      <c r="L14" s="42"/>
      <c r="M14" s="222">
        <v>211</v>
      </c>
      <c r="N14" s="252">
        <v>0</v>
      </c>
      <c r="O14" s="229">
        <f t="shared" si="0"/>
        <v>217.33</v>
      </c>
    </row>
    <row r="15" spans="1:16" x14ac:dyDescent="0.25">
      <c r="A15" s="33" t="s">
        <v>337</v>
      </c>
      <c r="B15" s="33" t="s">
        <v>204</v>
      </c>
      <c r="C15" s="91">
        <v>2200</v>
      </c>
      <c r="D15" s="90">
        <v>1990</v>
      </c>
      <c r="E15" s="135">
        <v>0</v>
      </c>
      <c r="F15" s="90">
        <v>2000</v>
      </c>
      <c r="G15" s="135">
        <v>2111.5300000000002</v>
      </c>
      <c r="H15" s="90">
        <v>2270.7870000000003</v>
      </c>
      <c r="I15" s="137">
        <v>1588.88</v>
      </c>
      <c r="J15" s="90">
        <v>1507</v>
      </c>
      <c r="K15" s="199">
        <v>2594</v>
      </c>
      <c r="L15" s="42"/>
      <c r="M15" s="222">
        <v>2594</v>
      </c>
      <c r="N15" s="252">
        <v>0</v>
      </c>
      <c r="O15" s="229">
        <f t="shared" si="0"/>
        <v>2671.82</v>
      </c>
    </row>
    <row r="16" spans="1:16" x14ac:dyDescent="0.25">
      <c r="A16" s="33" t="s">
        <v>339</v>
      </c>
      <c r="B16" s="33" t="s">
        <v>208</v>
      </c>
      <c r="C16" s="91">
        <v>9679</v>
      </c>
      <c r="D16" s="90">
        <v>7761</v>
      </c>
      <c r="E16" s="135">
        <v>0</v>
      </c>
      <c r="F16" s="90">
        <v>8247</v>
      </c>
      <c r="G16" s="135">
        <v>6988.67</v>
      </c>
      <c r="H16" s="90">
        <v>8739</v>
      </c>
      <c r="I16" s="137">
        <v>6809.91</v>
      </c>
      <c r="J16" s="90">
        <v>5133</v>
      </c>
      <c r="K16" s="199">
        <v>2594</v>
      </c>
      <c r="L16" s="42"/>
      <c r="M16" s="222">
        <v>5987</v>
      </c>
      <c r="N16" s="252">
        <v>0</v>
      </c>
      <c r="O16" s="229">
        <f t="shared" si="0"/>
        <v>6166.61</v>
      </c>
    </row>
    <row r="17" spans="1:15" x14ac:dyDescent="0.25">
      <c r="A17" s="33" t="s">
        <v>340</v>
      </c>
      <c r="B17" s="33" t="s">
        <v>210</v>
      </c>
      <c r="C17" s="91">
        <f>(728.72*12)*3</f>
        <v>26233.919999999998</v>
      </c>
      <c r="D17" s="90">
        <f>(728.72*12)*2</f>
        <v>17489.28</v>
      </c>
      <c r="E17" s="135">
        <v>0</v>
      </c>
      <c r="F17" s="90">
        <v>18398</v>
      </c>
      <c r="G17" s="135">
        <v>20359.080000000002</v>
      </c>
      <c r="H17" s="90">
        <v>28069.919999999998</v>
      </c>
      <c r="I17" s="137">
        <v>14034.96</v>
      </c>
      <c r="J17" s="90">
        <v>19086</v>
      </c>
      <c r="K17" s="199">
        <v>10102</v>
      </c>
      <c r="L17" s="42"/>
      <c r="M17" s="222">
        <v>20440</v>
      </c>
      <c r="N17" s="252">
        <v>0</v>
      </c>
      <c r="O17" s="229">
        <v>22240</v>
      </c>
    </row>
    <row r="18" spans="1:15" x14ac:dyDescent="0.25">
      <c r="A18" s="33" t="s">
        <v>341</v>
      </c>
      <c r="B18" s="33" t="s">
        <v>212</v>
      </c>
      <c r="C18" s="91">
        <v>6855</v>
      </c>
      <c r="D18" s="90">
        <v>4001</v>
      </c>
      <c r="E18" s="135">
        <v>0</v>
      </c>
      <c r="F18" s="90">
        <v>5351</v>
      </c>
      <c r="G18" s="135">
        <v>5256.6</v>
      </c>
      <c r="H18" s="90">
        <v>3591</v>
      </c>
      <c r="I18" s="137">
        <v>3291.57</v>
      </c>
      <c r="J18" s="178">
        <v>3350</v>
      </c>
      <c r="K18" s="199">
        <v>3225</v>
      </c>
      <c r="L18" s="42"/>
      <c r="M18" s="222">
        <v>7000</v>
      </c>
      <c r="N18" s="252">
        <v>0</v>
      </c>
      <c r="O18" s="229">
        <f t="shared" si="0"/>
        <v>7210</v>
      </c>
    </row>
    <row r="19" spans="1:15" x14ac:dyDescent="0.25">
      <c r="A19" s="33" t="s">
        <v>338</v>
      </c>
      <c r="B19" s="33" t="s">
        <v>206</v>
      </c>
      <c r="C19" s="91"/>
      <c r="D19" s="90">
        <v>0</v>
      </c>
      <c r="E19" s="135">
        <v>0</v>
      </c>
      <c r="F19" s="90">
        <v>0</v>
      </c>
      <c r="G19" s="135">
        <v>1661.38</v>
      </c>
      <c r="H19" s="90">
        <v>9585.5720000000001</v>
      </c>
      <c r="I19" s="137">
        <v>6446.1</v>
      </c>
      <c r="J19" s="90">
        <v>6443</v>
      </c>
      <c r="K19" s="199">
        <v>3831</v>
      </c>
      <c r="L19" s="42"/>
      <c r="M19" s="222">
        <v>7453</v>
      </c>
      <c r="N19" s="252">
        <v>0</v>
      </c>
      <c r="O19" s="229">
        <f t="shared" si="0"/>
        <v>7676.59</v>
      </c>
    </row>
    <row r="20" spans="1:15" ht="16.5" thickBot="1" x14ac:dyDescent="0.3">
      <c r="A20" s="33" t="s">
        <v>591</v>
      </c>
      <c r="B20" s="33" t="s">
        <v>342</v>
      </c>
      <c r="C20" s="94">
        <v>892</v>
      </c>
      <c r="D20" s="123">
        <v>2200</v>
      </c>
      <c r="E20" s="142">
        <v>2152.15</v>
      </c>
      <c r="F20" s="123">
        <v>1800</v>
      </c>
      <c r="G20" s="142">
        <v>391.92</v>
      </c>
      <c r="H20" s="123">
        <v>2000</v>
      </c>
      <c r="I20" s="144"/>
      <c r="J20" s="123">
        <v>2400</v>
      </c>
      <c r="K20" s="200">
        <v>624</v>
      </c>
      <c r="L20" s="42"/>
      <c r="M20" s="223">
        <v>1600</v>
      </c>
      <c r="N20" s="253">
        <v>0</v>
      </c>
      <c r="O20" s="230">
        <f t="shared" si="0"/>
        <v>1648</v>
      </c>
    </row>
    <row r="21" spans="1:15" x14ac:dyDescent="0.25">
      <c r="A21" s="277" t="s">
        <v>213</v>
      </c>
      <c r="B21" s="277"/>
      <c r="C21" s="91">
        <f>SUM(C11:C20)</f>
        <v>212665.15999999997</v>
      </c>
      <c r="D21" s="91">
        <f>SUM(D11:D20)</f>
        <v>166530.96</v>
      </c>
      <c r="E21" s="127"/>
      <c r="F21" s="91">
        <v>184002</v>
      </c>
      <c r="G21" s="127">
        <v>184585.72000000003</v>
      </c>
      <c r="H21" s="91">
        <v>211281.27899999998</v>
      </c>
      <c r="I21" s="58">
        <f>SUM(I11:I20)</f>
        <v>154370.31000000003</v>
      </c>
      <c r="J21" s="91">
        <f>SUM(J11:J20)</f>
        <v>187804.91999999998</v>
      </c>
      <c r="K21" s="199">
        <f>SUM(K11:K20)</f>
        <v>172749.91999999998</v>
      </c>
      <c r="L21" s="42"/>
      <c r="M21" s="225">
        <f>SUM(M11:M20)</f>
        <v>220000</v>
      </c>
      <c r="N21" s="254">
        <f>SUM(N11:N20)</f>
        <v>0</v>
      </c>
      <c r="O21" s="231">
        <f>SUM(O11:O20)</f>
        <v>174226.8</v>
      </c>
    </row>
    <row r="22" spans="1:15" x14ac:dyDescent="0.25">
      <c r="A22" s="33"/>
      <c r="B22" s="33"/>
      <c r="C22" s="91"/>
      <c r="D22" s="90"/>
      <c r="E22" s="135"/>
      <c r="F22" s="90"/>
      <c r="G22" s="135"/>
      <c r="H22" s="90"/>
      <c r="I22" s="137"/>
      <c r="J22" s="90"/>
      <c r="K22" s="199"/>
      <c r="L22" s="42"/>
      <c r="M22" s="33"/>
      <c r="N22" s="1"/>
      <c r="O22" s="229"/>
    </row>
    <row r="23" spans="1:15" x14ac:dyDescent="0.25">
      <c r="A23" s="89" t="s">
        <v>12</v>
      </c>
      <c r="B23" s="33"/>
      <c r="C23" s="91"/>
      <c r="D23" s="90"/>
      <c r="E23" s="135"/>
      <c r="F23" s="90"/>
      <c r="G23" s="135"/>
      <c r="H23" s="90"/>
      <c r="I23" s="137"/>
      <c r="J23" s="90"/>
      <c r="K23" s="199"/>
      <c r="L23" s="42"/>
      <c r="M23" s="33"/>
      <c r="N23" s="1"/>
      <c r="O23" s="229"/>
    </row>
    <row r="24" spans="1:15" hidden="1" x14ac:dyDescent="0.25">
      <c r="A24" s="150" t="s">
        <v>343</v>
      </c>
      <c r="B24" s="57" t="s">
        <v>261</v>
      </c>
      <c r="C24" s="127">
        <v>0</v>
      </c>
      <c r="D24" s="135">
        <v>0</v>
      </c>
      <c r="E24" s="135"/>
      <c r="F24" s="135">
        <v>0</v>
      </c>
      <c r="G24" s="135"/>
      <c r="H24" s="135"/>
      <c r="I24" s="137"/>
      <c r="J24" s="135"/>
      <c r="K24" s="199"/>
      <c r="L24" s="42"/>
      <c r="M24" s="33"/>
      <c r="N24" s="1"/>
      <c r="O24" s="229">
        <f t="shared" si="0"/>
        <v>0</v>
      </c>
    </row>
    <row r="25" spans="1:15" x14ac:dyDescent="0.25">
      <c r="A25" s="147" t="s">
        <v>344</v>
      </c>
      <c r="B25" s="33" t="s">
        <v>345</v>
      </c>
      <c r="C25" s="91">
        <v>4251</v>
      </c>
      <c r="D25" s="90">
        <v>0</v>
      </c>
      <c r="E25" s="135">
        <v>0</v>
      </c>
      <c r="F25" s="90">
        <v>0</v>
      </c>
      <c r="G25" s="135">
        <v>1564.94</v>
      </c>
      <c r="H25" s="90">
        <v>1000</v>
      </c>
      <c r="I25" s="137">
        <v>3094.6</v>
      </c>
      <c r="J25" s="90">
        <v>2000</v>
      </c>
      <c r="K25" s="199">
        <v>3227</v>
      </c>
      <c r="L25" s="42"/>
      <c r="M25" s="222">
        <v>2500</v>
      </c>
      <c r="N25" s="252">
        <v>0</v>
      </c>
      <c r="O25" s="229">
        <v>2500</v>
      </c>
    </row>
    <row r="26" spans="1:15" x14ac:dyDescent="0.25">
      <c r="A26" s="147" t="s">
        <v>346</v>
      </c>
      <c r="B26" s="33" t="s">
        <v>263</v>
      </c>
      <c r="C26" s="91">
        <v>0</v>
      </c>
      <c r="D26" s="90">
        <v>0</v>
      </c>
      <c r="E26" s="135">
        <v>0</v>
      </c>
      <c r="F26" s="90">
        <v>350</v>
      </c>
      <c r="G26" s="135"/>
      <c r="H26" s="90">
        <v>350</v>
      </c>
      <c r="I26" s="137">
        <v>50.1</v>
      </c>
      <c r="J26" s="90">
        <v>350</v>
      </c>
      <c r="K26" s="199">
        <v>33</v>
      </c>
      <c r="L26" s="42"/>
      <c r="M26" s="222">
        <v>350</v>
      </c>
      <c r="N26" s="252">
        <v>0</v>
      </c>
      <c r="O26" s="229">
        <f t="shared" si="0"/>
        <v>360.5</v>
      </c>
    </row>
    <row r="27" spans="1:15" x14ac:dyDescent="0.25">
      <c r="A27" s="147" t="s">
        <v>347</v>
      </c>
      <c r="B27" s="33" t="s">
        <v>222</v>
      </c>
      <c r="C27" s="91">
        <v>0</v>
      </c>
      <c r="D27" s="90">
        <v>3500</v>
      </c>
      <c r="E27" s="135">
        <v>0</v>
      </c>
      <c r="F27" s="90">
        <v>3500</v>
      </c>
      <c r="G27" s="135">
        <v>130</v>
      </c>
      <c r="H27" s="90">
        <v>3500</v>
      </c>
      <c r="I27" s="137">
        <v>858.48</v>
      </c>
      <c r="J27" s="90">
        <v>3000</v>
      </c>
      <c r="K27" s="199">
        <v>553</v>
      </c>
      <c r="L27" s="42"/>
      <c r="M27" s="222">
        <v>3000</v>
      </c>
      <c r="N27" s="252">
        <v>0</v>
      </c>
      <c r="O27" s="229">
        <f t="shared" si="0"/>
        <v>3090</v>
      </c>
    </row>
    <row r="28" spans="1:15" x14ac:dyDescent="0.25">
      <c r="A28" s="147" t="s">
        <v>348</v>
      </c>
      <c r="B28" s="33" t="s">
        <v>224</v>
      </c>
      <c r="C28" s="91">
        <v>0</v>
      </c>
      <c r="D28" s="90">
        <v>12000</v>
      </c>
      <c r="E28" s="135">
        <v>0</v>
      </c>
      <c r="F28" s="90">
        <v>6000</v>
      </c>
      <c r="G28" s="135">
        <v>30879.919999999998</v>
      </c>
      <c r="H28" s="90">
        <v>6000</v>
      </c>
      <c r="I28" s="137">
        <v>2151.75</v>
      </c>
      <c r="J28" s="90">
        <v>4500</v>
      </c>
      <c r="K28" s="199">
        <v>218</v>
      </c>
      <c r="L28" s="42"/>
      <c r="M28" s="222">
        <v>1000</v>
      </c>
      <c r="N28" s="252">
        <v>0</v>
      </c>
      <c r="O28" s="229" t="s">
        <v>705</v>
      </c>
    </row>
    <row r="29" spans="1:15" x14ac:dyDescent="0.25">
      <c r="A29" s="147" t="s">
        <v>349</v>
      </c>
      <c r="B29" s="33" t="s">
        <v>267</v>
      </c>
      <c r="C29" s="91">
        <v>0</v>
      </c>
      <c r="D29" s="90">
        <v>0</v>
      </c>
      <c r="E29" s="135">
        <v>0</v>
      </c>
      <c r="F29" s="90">
        <v>3000</v>
      </c>
      <c r="G29" s="135">
        <v>2633.69</v>
      </c>
      <c r="H29" s="90">
        <v>3000</v>
      </c>
      <c r="I29" s="137">
        <v>1170</v>
      </c>
      <c r="J29" s="90">
        <v>3000</v>
      </c>
      <c r="K29" s="199">
        <v>2653</v>
      </c>
      <c r="L29" s="42"/>
      <c r="M29" s="222">
        <v>3000</v>
      </c>
      <c r="N29" s="252">
        <v>0</v>
      </c>
      <c r="O29" s="229">
        <f t="shared" si="0"/>
        <v>3090</v>
      </c>
    </row>
    <row r="30" spans="1:15" x14ac:dyDescent="0.25">
      <c r="A30" s="147" t="s">
        <v>354</v>
      </c>
      <c r="B30" s="33" t="s">
        <v>355</v>
      </c>
      <c r="C30" s="91">
        <v>3382</v>
      </c>
      <c r="D30" s="90">
        <v>8500</v>
      </c>
      <c r="E30" s="135">
        <f>5725.58+612.48</f>
        <v>6338.0599999999995</v>
      </c>
      <c r="F30" s="90">
        <v>8700</v>
      </c>
      <c r="G30" s="135">
        <v>8360.01</v>
      </c>
      <c r="H30" s="90">
        <v>8700</v>
      </c>
      <c r="I30" s="137">
        <v>4766.84</v>
      </c>
      <c r="J30" s="90">
        <v>6700</v>
      </c>
      <c r="K30" s="199">
        <v>6218</v>
      </c>
      <c r="L30" s="42"/>
      <c r="M30" s="222">
        <v>6700</v>
      </c>
      <c r="N30" s="252">
        <v>0</v>
      </c>
      <c r="O30" s="229">
        <f t="shared" si="0"/>
        <v>6901</v>
      </c>
    </row>
    <row r="31" spans="1:15" x14ac:dyDescent="0.25">
      <c r="A31" s="147" t="s">
        <v>352</v>
      </c>
      <c r="B31" s="33" t="s">
        <v>353</v>
      </c>
      <c r="C31" s="91">
        <v>5697</v>
      </c>
      <c r="D31" s="90">
        <v>6000</v>
      </c>
      <c r="E31" s="135">
        <v>3404.67</v>
      </c>
      <c r="F31" s="90">
        <v>6000</v>
      </c>
      <c r="G31" s="135">
        <v>3874.09</v>
      </c>
      <c r="H31" s="90">
        <v>6000</v>
      </c>
      <c r="I31" s="137">
        <v>2604.16</v>
      </c>
      <c r="J31" s="90">
        <v>7000</v>
      </c>
      <c r="K31" s="199">
        <f t="shared" ref="K31:K33" si="2">J31</f>
        <v>7000</v>
      </c>
      <c r="L31" s="42"/>
      <c r="M31" s="222">
        <v>13500</v>
      </c>
      <c r="N31" s="252">
        <v>0</v>
      </c>
      <c r="O31" s="229">
        <v>16000</v>
      </c>
    </row>
    <row r="32" spans="1:15" x14ac:dyDescent="0.25">
      <c r="A32" s="147" t="s">
        <v>350</v>
      </c>
      <c r="B32" s="33" t="s">
        <v>351</v>
      </c>
      <c r="C32" s="91">
        <v>0</v>
      </c>
      <c r="D32" s="90">
        <v>0</v>
      </c>
      <c r="E32" s="135">
        <v>0</v>
      </c>
      <c r="F32" s="90">
        <v>3600</v>
      </c>
      <c r="G32" s="135">
        <v>1083.79</v>
      </c>
      <c r="H32" s="90">
        <v>3600</v>
      </c>
      <c r="I32" s="137">
        <v>2177</v>
      </c>
      <c r="J32" s="90">
        <v>4996</v>
      </c>
      <c r="K32" s="199">
        <v>1098</v>
      </c>
      <c r="L32" s="42"/>
      <c r="M32" s="222">
        <v>7740</v>
      </c>
      <c r="N32" s="252">
        <v>0</v>
      </c>
      <c r="O32" s="229">
        <f t="shared" si="0"/>
        <v>7972.2</v>
      </c>
    </row>
    <row r="33" spans="1:15" ht="16.5" thickBot="1" x14ac:dyDescent="0.3">
      <c r="A33" s="147" t="s">
        <v>356</v>
      </c>
      <c r="B33" s="33" t="s">
        <v>357</v>
      </c>
      <c r="C33" s="94">
        <v>6527.34</v>
      </c>
      <c r="D33" s="123">
        <v>0</v>
      </c>
      <c r="E33" s="142">
        <v>0</v>
      </c>
      <c r="F33" s="123">
        <v>7000</v>
      </c>
      <c r="G33" s="142">
        <v>7000</v>
      </c>
      <c r="H33" s="123">
        <v>7000</v>
      </c>
      <c r="I33" s="144">
        <v>7303.58</v>
      </c>
      <c r="J33" s="123">
        <v>5455</v>
      </c>
      <c r="K33" s="200">
        <f t="shared" si="2"/>
        <v>5455</v>
      </c>
      <c r="L33" s="42"/>
      <c r="M33" s="223">
        <v>5455</v>
      </c>
      <c r="N33" s="253">
        <v>0</v>
      </c>
      <c r="O33" s="230">
        <f t="shared" si="0"/>
        <v>5618.65</v>
      </c>
    </row>
    <row r="34" spans="1:15" x14ac:dyDescent="0.25">
      <c r="A34" s="277" t="s">
        <v>227</v>
      </c>
      <c r="B34" s="277"/>
      <c r="C34" s="91">
        <f>SUM(C24:C33)</f>
        <v>19857.34</v>
      </c>
      <c r="D34" s="91">
        <f>SUM(D24:D33)</f>
        <v>30000</v>
      </c>
      <c r="E34" s="127">
        <f>SUM(E26:E33)</f>
        <v>9742.73</v>
      </c>
      <c r="F34" s="91">
        <v>38150</v>
      </c>
      <c r="G34" s="127">
        <v>55526.439999999995</v>
      </c>
      <c r="H34" s="91">
        <v>39150</v>
      </c>
      <c r="I34" s="58">
        <f>SUM(I24:I33)</f>
        <v>24176.510000000002</v>
      </c>
      <c r="J34" s="91">
        <f>SUM(J24:J33)</f>
        <v>37001</v>
      </c>
      <c r="K34" s="199">
        <f>SUM(K24:K33)</f>
        <v>26455</v>
      </c>
      <c r="L34" s="42"/>
      <c r="M34" s="225">
        <f>SUM(M24:M33)</f>
        <v>43245</v>
      </c>
      <c r="N34" s="254">
        <f>SUM(N25:N33)</f>
        <v>0</v>
      </c>
      <c r="O34" s="231">
        <f>SUM(O24:O33)</f>
        <v>45532.35</v>
      </c>
    </row>
    <row r="35" spans="1:15" x14ac:dyDescent="0.25">
      <c r="A35" s="53"/>
      <c r="B35" s="53"/>
      <c r="C35" s="91"/>
      <c r="D35" s="90"/>
      <c r="E35" s="135"/>
      <c r="F35" s="90"/>
      <c r="G35" s="135"/>
      <c r="H35" s="90"/>
      <c r="I35" s="137"/>
      <c r="J35" s="90"/>
      <c r="K35" s="199"/>
      <c r="L35" s="42"/>
      <c r="M35" s="33"/>
      <c r="N35" s="1"/>
      <c r="O35" s="229"/>
    </row>
    <row r="36" spans="1:15" x14ac:dyDescent="0.25">
      <c r="A36" s="132" t="s">
        <v>358</v>
      </c>
      <c r="B36" s="53"/>
      <c r="C36" s="91"/>
      <c r="D36" s="90"/>
      <c r="E36" s="135"/>
      <c r="F36" s="90"/>
      <c r="G36" s="135"/>
      <c r="H36" s="90"/>
      <c r="I36" s="137"/>
      <c r="J36" s="90"/>
      <c r="K36" s="199"/>
      <c r="L36" s="42"/>
      <c r="M36" s="33"/>
      <c r="N36" s="1"/>
      <c r="O36" s="229"/>
    </row>
    <row r="37" spans="1:15" x14ac:dyDescent="0.25">
      <c r="A37" s="162" t="s">
        <v>359</v>
      </c>
      <c r="B37" s="43" t="s">
        <v>360</v>
      </c>
      <c r="C37" s="91">
        <v>0</v>
      </c>
      <c r="D37" s="90">
        <v>0</v>
      </c>
      <c r="E37" s="135">
        <v>9457.5400000000009</v>
      </c>
      <c r="F37" s="90">
        <v>12158</v>
      </c>
      <c r="G37" s="135">
        <v>4359</v>
      </c>
      <c r="H37" s="90">
        <v>16124</v>
      </c>
      <c r="I37" s="137">
        <v>10636.67</v>
      </c>
      <c r="J37" s="90">
        <v>18331.669999999998</v>
      </c>
      <c r="K37" s="199">
        <v>12279</v>
      </c>
      <c r="L37" s="42"/>
      <c r="M37" s="222">
        <v>14000</v>
      </c>
      <c r="N37" s="252">
        <v>0</v>
      </c>
      <c r="O37" s="229">
        <f t="shared" si="0"/>
        <v>14420</v>
      </c>
    </row>
    <row r="38" spans="1:15" ht="16.5" thickBot="1" x14ac:dyDescent="0.3">
      <c r="A38" s="162" t="s">
        <v>361</v>
      </c>
      <c r="B38" s="43" t="s">
        <v>362</v>
      </c>
      <c r="C38" s="94">
        <v>0</v>
      </c>
      <c r="D38" s="123">
        <v>0</v>
      </c>
      <c r="E38" s="142">
        <v>0</v>
      </c>
      <c r="F38" s="123">
        <v>8953</v>
      </c>
      <c r="G38" s="142">
        <v>4214.7299999999996</v>
      </c>
      <c r="H38" s="123">
        <v>4000</v>
      </c>
      <c r="I38" s="144">
        <v>1916.56</v>
      </c>
      <c r="J38" s="123">
        <v>4500</v>
      </c>
      <c r="K38" s="200">
        <v>2665</v>
      </c>
      <c r="L38" s="42"/>
      <c r="M38" s="223">
        <v>28000</v>
      </c>
      <c r="N38" s="253">
        <v>0</v>
      </c>
      <c r="O38" s="230">
        <f t="shared" si="0"/>
        <v>28840</v>
      </c>
    </row>
    <row r="39" spans="1:15" x14ac:dyDescent="0.25">
      <c r="A39" s="53"/>
      <c r="B39" s="53" t="s">
        <v>363</v>
      </c>
      <c r="C39" s="91">
        <f>SUM(C37:C38)</f>
        <v>0</v>
      </c>
      <c r="D39" s="91">
        <f>SUM(D37:D38)</f>
        <v>0</v>
      </c>
      <c r="E39" s="127">
        <f>SUM(E37:E38)</f>
        <v>9457.5400000000009</v>
      </c>
      <c r="F39" s="91">
        <v>21111</v>
      </c>
      <c r="G39" s="127">
        <v>8573.73</v>
      </c>
      <c r="H39" s="91">
        <v>20124</v>
      </c>
      <c r="I39" s="58">
        <f t="shared" ref="I39" si="3">SUM(I37:I38)</f>
        <v>12553.23</v>
      </c>
      <c r="J39" s="91">
        <f t="shared" ref="J39" si="4">SUM(J37:J38)</f>
        <v>22831.67</v>
      </c>
      <c r="K39" s="199">
        <f t="shared" ref="K39:M39" si="5">SUM(K37:K38)</f>
        <v>14944</v>
      </c>
      <c r="L39" s="42"/>
      <c r="M39" s="225">
        <f t="shared" si="5"/>
        <v>42000</v>
      </c>
      <c r="N39" s="254">
        <f>SUM(N37:N38)</f>
        <v>0</v>
      </c>
      <c r="O39" s="231">
        <f>SUM(O37:O38)</f>
        <v>43260</v>
      </c>
    </row>
    <row r="40" spans="1:15" x14ac:dyDescent="0.25">
      <c r="A40" s="53"/>
      <c r="B40" s="53"/>
      <c r="C40" s="91"/>
      <c r="D40" s="90"/>
      <c r="E40" s="135"/>
      <c r="F40" s="90"/>
      <c r="G40" s="135"/>
      <c r="H40" s="90"/>
      <c r="I40" s="137"/>
      <c r="J40" s="90"/>
      <c r="K40" s="199"/>
      <c r="L40" s="42"/>
      <c r="M40" s="33"/>
      <c r="N40" s="1"/>
      <c r="O40" s="229"/>
    </row>
    <row r="41" spans="1:15" x14ac:dyDescent="0.25">
      <c r="A41" s="89" t="s">
        <v>323</v>
      </c>
      <c r="B41" s="33"/>
      <c r="C41" s="91"/>
      <c r="D41" s="90"/>
      <c r="E41" s="135"/>
      <c r="F41" s="90"/>
      <c r="G41" s="135"/>
      <c r="H41" s="90"/>
      <c r="I41" s="137"/>
      <c r="J41" s="90"/>
      <c r="K41" s="199"/>
      <c r="L41" s="42"/>
      <c r="M41" s="33"/>
      <c r="N41" s="1"/>
      <c r="O41" s="229"/>
    </row>
    <row r="42" spans="1:15" x14ac:dyDescent="0.25">
      <c r="A42" s="147" t="s">
        <v>364</v>
      </c>
      <c r="B42" s="33" t="s">
        <v>365</v>
      </c>
      <c r="C42" s="91">
        <v>0</v>
      </c>
      <c r="D42" s="90">
        <v>0</v>
      </c>
      <c r="E42" s="135">
        <v>0</v>
      </c>
      <c r="F42" s="90">
        <v>16547.48</v>
      </c>
      <c r="G42" s="135">
        <v>43906.5</v>
      </c>
      <c r="H42" s="90">
        <v>0</v>
      </c>
      <c r="I42" s="137">
        <v>27359.5</v>
      </c>
      <c r="J42" s="90">
        <v>0</v>
      </c>
      <c r="K42" s="199">
        <f t="shared" ref="K42:K46" si="6">J42</f>
        <v>0</v>
      </c>
      <c r="L42" s="42"/>
      <c r="M42" s="222">
        <v>0</v>
      </c>
      <c r="N42" s="252">
        <v>0</v>
      </c>
      <c r="O42" s="229">
        <f t="shared" si="0"/>
        <v>0</v>
      </c>
    </row>
    <row r="43" spans="1:15" x14ac:dyDescent="0.25">
      <c r="A43" s="147" t="s">
        <v>366</v>
      </c>
      <c r="B43" s="33" t="s">
        <v>367</v>
      </c>
      <c r="C43" s="91">
        <v>0</v>
      </c>
      <c r="D43" s="90">
        <v>0</v>
      </c>
      <c r="E43" s="135">
        <v>17470</v>
      </c>
      <c r="F43" s="90">
        <v>5000</v>
      </c>
      <c r="G43" s="135">
        <v>5000</v>
      </c>
      <c r="H43" s="90">
        <v>2000</v>
      </c>
      <c r="I43" s="137">
        <v>0</v>
      </c>
      <c r="J43" s="90">
        <v>2839</v>
      </c>
      <c r="K43" s="199">
        <v>750</v>
      </c>
      <c r="L43" s="42"/>
      <c r="M43" s="222">
        <v>0</v>
      </c>
      <c r="N43" s="252">
        <v>0</v>
      </c>
      <c r="O43" s="229">
        <f t="shared" si="0"/>
        <v>0</v>
      </c>
    </row>
    <row r="44" spans="1:15" x14ac:dyDescent="0.25">
      <c r="A44" s="147" t="s">
        <v>368</v>
      </c>
      <c r="B44" s="33" t="s">
        <v>369</v>
      </c>
      <c r="C44" s="91">
        <v>0</v>
      </c>
      <c r="D44" s="90">
        <v>0</v>
      </c>
      <c r="E44" s="135">
        <v>0</v>
      </c>
      <c r="F44" s="90">
        <v>0</v>
      </c>
      <c r="G44" s="135">
        <v>0</v>
      </c>
      <c r="H44" s="90">
        <v>0</v>
      </c>
      <c r="I44" s="137">
        <v>0</v>
      </c>
      <c r="J44" s="90">
        <v>0</v>
      </c>
      <c r="K44" s="199">
        <f t="shared" si="6"/>
        <v>0</v>
      </c>
      <c r="L44" s="42"/>
      <c r="M44" s="222">
        <v>0</v>
      </c>
      <c r="N44" s="252">
        <v>0</v>
      </c>
      <c r="O44" s="229">
        <f t="shared" si="0"/>
        <v>0</v>
      </c>
    </row>
    <row r="45" spans="1:15" x14ac:dyDescent="0.25">
      <c r="A45" s="147" t="s">
        <v>370</v>
      </c>
      <c r="B45" s="33" t="s">
        <v>371</v>
      </c>
      <c r="C45" s="91">
        <v>0</v>
      </c>
      <c r="D45" s="90">
        <v>0</v>
      </c>
      <c r="E45" s="135">
        <v>0</v>
      </c>
      <c r="F45" s="90">
        <v>0</v>
      </c>
      <c r="G45" s="135">
        <v>0</v>
      </c>
      <c r="H45" s="90">
        <v>0</v>
      </c>
      <c r="I45" s="137">
        <v>0</v>
      </c>
      <c r="J45" s="90">
        <v>0</v>
      </c>
      <c r="K45" s="199">
        <f t="shared" si="6"/>
        <v>0</v>
      </c>
      <c r="L45" s="42"/>
      <c r="M45" s="222">
        <v>0</v>
      </c>
      <c r="N45" s="252">
        <v>0</v>
      </c>
      <c r="O45" s="229">
        <f t="shared" si="0"/>
        <v>0</v>
      </c>
    </row>
    <row r="46" spans="1:15" ht="16.5" thickBot="1" x14ac:dyDescent="0.3">
      <c r="A46" s="147" t="s">
        <v>372</v>
      </c>
      <c r="B46" s="33" t="s">
        <v>373</v>
      </c>
      <c r="C46" s="94">
        <v>0</v>
      </c>
      <c r="D46" s="123">
        <v>0</v>
      </c>
      <c r="E46" s="142">
        <v>0</v>
      </c>
      <c r="F46" s="90">
        <v>2200</v>
      </c>
      <c r="G46" s="135">
        <v>2132.87</v>
      </c>
      <c r="H46" s="90">
        <v>1000</v>
      </c>
      <c r="I46" s="137">
        <v>0</v>
      </c>
      <c r="J46" s="90">
        <v>0</v>
      </c>
      <c r="K46" s="199">
        <f t="shared" si="6"/>
        <v>0</v>
      </c>
      <c r="L46" s="42"/>
      <c r="M46" s="222">
        <v>0</v>
      </c>
      <c r="N46" s="252">
        <v>0</v>
      </c>
      <c r="O46" s="229">
        <f t="shared" si="0"/>
        <v>0</v>
      </c>
    </row>
    <row r="47" spans="1:15" ht="16.5" thickBot="1" x14ac:dyDescent="0.3">
      <c r="A47" s="169" t="s">
        <v>629</v>
      </c>
      <c r="B47" s="33" t="s">
        <v>630</v>
      </c>
      <c r="C47" s="94"/>
      <c r="D47" s="123"/>
      <c r="E47" s="142"/>
      <c r="F47" s="123">
        <v>0</v>
      </c>
      <c r="G47" s="142">
        <v>0</v>
      </c>
      <c r="H47" s="123">
        <v>0</v>
      </c>
      <c r="I47" s="144">
        <v>0</v>
      </c>
      <c r="J47" s="123">
        <f>900*4</f>
        <v>3600</v>
      </c>
      <c r="K47" s="200">
        <v>0</v>
      </c>
      <c r="L47" s="42"/>
      <c r="M47" s="223">
        <v>0</v>
      </c>
      <c r="N47" s="253">
        <v>0</v>
      </c>
      <c r="O47" s="230">
        <f t="shared" si="0"/>
        <v>0</v>
      </c>
    </row>
    <row r="48" spans="1:15" x14ac:dyDescent="0.25">
      <c r="A48" s="33"/>
      <c r="B48" s="53" t="s">
        <v>328</v>
      </c>
      <c r="C48" s="91">
        <f>SUM(C42:C47)</f>
        <v>0</v>
      </c>
      <c r="D48" s="91">
        <f>SUM(D42:D47)</f>
        <v>0</v>
      </c>
      <c r="E48" s="127">
        <f>SUM(E42:E47)</f>
        <v>17470</v>
      </c>
      <c r="F48" s="91">
        <v>23747.48</v>
      </c>
      <c r="G48" s="127">
        <v>51039.37</v>
      </c>
      <c r="H48" s="91">
        <v>3000</v>
      </c>
      <c r="I48" s="58">
        <f>SUM(I42:I47)</f>
        <v>27359.5</v>
      </c>
      <c r="J48" s="91">
        <f>SUM(J42:J47)</f>
        <v>6439</v>
      </c>
      <c r="K48" s="199">
        <f>SUM(K42:K47)</f>
        <v>750</v>
      </c>
      <c r="L48" s="42"/>
      <c r="M48" s="225">
        <f>SUM(M42:M47)</f>
        <v>0</v>
      </c>
      <c r="N48" s="254">
        <f>SUM(N42:N47)</f>
        <v>0</v>
      </c>
      <c r="O48" s="231">
        <f>SUM(O42:O47)</f>
        <v>0</v>
      </c>
    </row>
    <row r="49" spans="1:15" hidden="1" x14ac:dyDescent="0.25">
      <c r="A49" s="33"/>
      <c r="B49" s="33"/>
      <c r="C49" s="91"/>
      <c r="D49" s="90"/>
      <c r="E49" s="135"/>
      <c r="F49" s="90"/>
      <c r="G49" s="90"/>
      <c r="H49" s="90"/>
      <c r="I49" s="90"/>
      <c r="J49" s="90"/>
      <c r="K49" s="90"/>
      <c r="L49" s="42"/>
      <c r="M49" s="33"/>
      <c r="N49" s="1"/>
      <c r="O49" s="232"/>
    </row>
    <row r="50" spans="1:15" hidden="1" x14ac:dyDescent="0.25">
      <c r="A50" s="89" t="s">
        <v>374</v>
      </c>
      <c r="B50" s="33"/>
      <c r="C50" s="91"/>
      <c r="D50" s="90"/>
      <c r="E50" s="135"/>
      <c r="F50" s="90"/>
      <c r="G50" s="90"/>
      <c r="H50" s="90"/>
      <c r="I50" s="90"/>
      <c r="J50" s="90"/>
      <c r="K50" s="90"/>
      <c r="L50" s="42"/>
      <c r="M50" s="33"/>
      <c r="N50" s="1"/>
      <c r="O50" s="232"/>
    </row>
    <row r="51" spans="1:15" ht="16.5" hidden="1" thickBot="1" x14ac:dyDescent="0.3">
      <c r="A51" s="147" t="s">
        <v>375</v>
      </c>
      <c r="B51" s="33" t="s">
        <v>376</v>
      </c>
      <c r="C51" s="94">
        <v>0</v>
      </c>
      <c r="D51" s="123">
        <v>0</v>
      </c>
      <c r="E51" s="142"/>
      <c r="F51" s="123">
        <v>0</v>
      </c>
      <c r="G51" s="123">
        <v>0</v>
      </c>
      <c r="H51" s="123">
        <v>0</v>
      </c>
      <c r="I51" s="123">
        <v>0</v>
      </c>
      <c r="J51" s="123">
        <v>0</v>
      </c>
      <c r="K51" s="123">
        <v>0</v>
      </c>
      <c r="L51" s="42"/>
      <c r="M51" s="33"/>
      <c r="N51" s="1"/>
      <c r="O51" s="232"/>
    </row>
    <row r="52" spans="1:15" hidden="1" x14ac:dyDescent="0.25">
      <c r="A52" s="33"/>
      <c r="B52" s="53" t="s">
        <v>377</v>
      </c>
      <c r="C52" s="91">
        <f>SUM(C51)</f>
        <v>0</v>
      </c>
      <c r="D52" s="90">
        <f t="shared" ref="D52" si="7">SUM(D51)</f>
        <v>0</v>
      </c>
      <c r="E52" s="135"/>
      <c r="F52" s="90">
        <v>0</v>
      </c>
      <c r="G52" s="90">
        <v>0</v>
      </c>
      <c r="H52" s="90">
        <v>0</v>
      </c>
      <c r="I52" s="90">
        <f t="shared" ref="I52" si="8">SUM(I51)</f>
        <v>0</v>
      </c>
      <c r="J52" s="90">
        <f t="shared" ref="J52" si="9">SUM(J51)</f>
        <v>0</v>
      </c>
      <c r="K52" s="90">
        <f t="shared" ref="K52" si="10">SUM(K51)</f>
        <v>0</v>
      </c>
      <c r="L52" s="42"/>
      <c r="M52" s="33"/>
      <c r="N52" s="1"/>
      <c r="O52" s="232"/>
    </row>
    <row r="53" spans="1:15" hidden="1" x14ac:dyDescent="0.25">
      <c r="A53" s="33"/>
      <c r="B53" s="33"/>
      <c r="C53" s="91"/>
      <c r="D53" s="90"/>
      <c r="E53" s="135"/>
      <c r="F53" s="90"/>
      <c r="G53" s="90"/>
      <c r="H53" s="90"/>
      <c r="I53" s="90"/>
      <c r="J53" s="90"/>
      <c r="K53" s="90"/>
      <c r="L53" s="42"/>
      <c r="M53" s="33"/>
      <c r="N53" s="1"/>
      <c r="O53" s="232"/>
    </row>
    <row r="54" spans="1:15" x14ac:dyDescent="0.25">
      <c r="A54" s="33"/>
      <c r="B54" s="33"/>
      <c r="C54" s="91"/>
      <c r="D54" s="90"/>
      <c r="E54" s="135"/>
      <c r="F54" s="90"/>
      <c r="G54" s="90"/>
      <c r="H54" s="90"/>
      <c r="I54" s="90"/>
      <c r="J54" s="90"/>
      <c r="K54" s="90"/>
      <c r="L54" s="42"/>
      <c r="M54" s="33"/>
      <c r="N54" s="1"/>
      <c r="O54" s="232"/>
    </row>
    <row r="55" spans="1:15" ht="21" customHeight="1" x14ac:dyDescent="0.25">
      <c r="B55" s="153" t="s">
        <v>378</v>
      </c>
      <c r="C55" s="107">
        <f>C21+C34+C39+C48</f>
        <v>232522.49999999997</v>
      </c>
      <c r="D55" s="107">
        <f>D21+D34+D39+D48</f>
        <v>196530.96</v>
      </c>
      <c r="E55" s="55">
        <f>E21+E34+E39+E48</f>
        <v>36670.270000000004</v>
      </c>
      <c r="F55" s="107">
        <v>267010.48</v>
      </c>
      <c r="G55" s="107">
        <v>299725.26000000007</v>
      </c>
      <c r="H55" s="107">
        <v>273555.27899999998</v>
      </c>
      <c r="I55" s="107">
        <f>I21+I34+I39+I48+I52</f>
        <v>218459.55000000005</v>
      </c>
      <c r="J55" s="107">
        <f>J21+J34+J39+J48+J52</f>
        <v>254076.58999999997</v>
      </c>
      <c r="K55" s="159">
        <f>K21+K34+K39+K48+K52</f>
        <v>214898.91999999998</v>
      </c>
      <c r="L55" s="42"/>
      <c r="M55" s="240">
        <f>M21+M34+M39+M48+M52</f>
        <v>305245</v>
      </c>
      <c r="N55" s="240">
        <f t="shared" ref="N55:O55" si="11">N21+N34+N39+N48+N52</f>
        <v>0</v>
      </c>
      <c r="O55" s="243">
        <f t="shared" si="11"/>
        <v>263019.15000000002</v>
      </c>
    </row>
    <row r="56" spans="1:15" ht="13.5" hidden="1" customHeight="1" x14ac:dyDescent="0.25">
      <c r="A56" s="156" t="s">
        <v>379</v>
      </c>
    </row>
    <row r="57" spans="1:15" ht="87.6" hidden="1" customHeight="1" x14ac:dyDescent="0.25">
      <c r="A57" s="279" t="s">
        <v>639</v>
      </c>
      <c r="B57" s="279"/>
      <c r="C57" s="163"/>
      <c r="D57" s="163"/>
      <c r="E57" s="163"/>
      <c r="F57" s="163"/>
      <c r="G57" s="163"/>
    </row>
    <row r="58" spans="1:15" hidden="1" x14ac:dyDescent="0.25"/>
    <row r="59" spans="1:15" ht="18.600000000000001" hidden="1" customHeight="1" x14ac:dyDescent="0.25">
      <c r="A59" s="184" t="s">
        <v>638</v>
      </c>
      <c r="B59" s="184"/>
      <c r="C59" s="187"/>
      <c r="D59" s="187"/>
      <c r="E59" s="187"/>
      <c r="F59" s="184"/>
    </row>
    <row r="60" spans="1:15" hidden="1" x14ac:dyDescent="0.25">
      <c r="A60" s="188"/>
      <c r="B60" s="188" t="s">
        <v>646</v>
      </c>
      <c r="C60" s="187"/>
      <c r="D60" s="187"/>
      <c r="E60" s="187"/>
      <c r="F60" s="184"/>
      <c r="G60" s="34" t="s">
        <v>683</v>
      </c>
    </row>
    <row r="61" spans="1:15" hidden="1" x14ac:dyDescent="0.25">
      <c r="A61" s="187"/>
      <c r="B61" s="187"/>
      <c r="C61" s="187"/>
      <c r="D61" s="187"/>
      <c r="E61" s="187"/>
      <c r="F61" s="187"/>
    </row>
    <row r="62" spans="1:15" hidden="1" x14ac:dyDescent="0.25">
      <c r="A62" s="184" t="s">
        <v>648</v>
      </c>
      <c r="B62" s="184"/>
      <c r="C62" s="184"/>
      <c r="D62" s="184"/>
      <c r="E62" s="184"/>
      <c r="F62" s="184"/>
      <c r="G62" s="181"/>
    </row>
    <row r="63" spans="1:15" hidden="1" x14ac:dyDescent="0.25">
      <c r="A63" s="184"/>
      <c r="B63" s="184" t="s">
        <v>649</v>
      </c>
      <c r="C63" s="184"/>
      <c r="D63" s="184"/>
      <c r="E63" s="184"/>
      <c r="F63" s="184"/>
      <c r="G63" s="181"/>
    </row>
    <row r="64" spans="1:15" hidden="1" x14ac:dyDescent="0.25">
      <c r="A64" s="184"/>
      <c r="B64" s="184" t="s">
        <v>650</v>
      </c>
      <c r="C64" s="184"/>
      <c r="D64" s="184"/>
      <c r="E64" s="184"/>
      <c r="F64" s="184"/>
      <c r="G64" s="181"/>
    </row>
    <row r="65" spans="1:7" hidden="1" x14ac:dyDescent="0.25">
      <c r="A65" s="187"/>
      <c r="B65" s="187"/>
      <c r="C65" s="187"/>
      <c r="D65" s="187"/>
      <c r="E65" s="187"/>
      <c r="F65" s="187"/>
    </row>
    <row r="66" spans="1:7" hidden="1" x14ac:dyDescent="0.25">
      <c r="A66" s="187"/>
      <c r="B66" s="184" t="s">
        <v>660</v>
      </c>
      <c r="C66" s="184"/>
      <c r="D66" s="185"/>
      <c r="E66" s="185"/>
      <c r="F66" s="185"/>
      <c r="G66" s="185"/>
    </row>
    <row r="67" spans="1:7" hidden="1" x14ac:dyDescent="0.25"/>
    <row r="68" spans="1:7" hidden="1" x14ac:dyDescent="0.25">
      <c r="B68" s="192" t="s">
        <v>664</v>
      </c>
      <c r="C68" s="192"/>
      <c r="D68" s="192"/>
      <c r="E68" s="192"/>
      <c r="F68" s="192"/>
      <c r="G68" s="192"/>
    </row>
    <row r="69" spans="1:7" x14ac:dyDescent="0.25">
      <c r="B69" s="40"/>
      <c r="C69" s="40"/>
      <c r="D69" s="40"/>
      <c r="E69" s="40"/>
      <c r="F69" s="40"/>
      <c r="G69" s="40"/>
    </row>
  </sheetData>
  <sortState ref="A11:J19">
    <sortCondition ref="A11"/>
  </sortState>
  <mergeCells count="3">
    <mergeCell ref="A21:B21"/>
    <mergeCell ref="A34:B34"/>
    <mergeCell ref="A57:B57"/>
  </mergeCells>
  <pageMargins left="0.7" right="0.7" top="0.75" bottom="0.75" header="0.3" footer="0.3"/>
  <pageSetup scale="7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REVEN&amp;EXP - ALL FUNDS</vt:lpstr>
      <vt:lpstr>TOTAL BUDGET</vt:lpstr>
      <vt:lpstr>GF - SUMMARY</vt:lpstr>
      <vt:lpstr>GF - REVENUE</vt:lpstr>
      <vt:lpstr>GF - SECRETARY</vt:lpstr>
      <vt:lpstr>GF - COURT</vt:lpstr>
      <vt:lpstr>GF - PERMITTING</vt:lpstr>
      <vt:lpstr>GF - DS</vt:lpstr>
      <vt:lpstr>GF - PD</vt:lpstr>
      <vt:lpstr>GF - LEGAL</vt:lpstr>
      <vt:lpstr>GF -ENGINEERING</vt:lpstr>
      <vt:lpstr>GF - AUDITOR</vt:lpstr>
      <vt:lpstr>GF - GCAD</vt:lpstr>
      <vt:lpstr>GF - GCTA</vt:lpstr>
      <vt:lpstr>GF - MCLA</vt:lpstr>
      <vt:lpstr>GF - MVFD</vt:lpstr>
      <vt:lpstr>GF - EMS</vt:lpstr>
      <vt:lpstr>GF - SRO</vt:lpstr>
      <vt:lpstr>UF -SUMMARY</vt:lpstr>
      <vt:lpstr>UF - REVENUE</vt:lpstr>
      <vt:lpstr>UF - OPERATIONS</vt:lpstr>
      <vt:lpstr>UF - ADMIN</vt:lpstr>
      <vt:lpstr>UF-UTILITY CLERK</vt:lpstr>
      <vt:lpstr>Sheet1</vt:lpstr>
      <vt:lpstr>'GF - REVENUE'!Print_Titles</vt:lpstr>
      <vt:lpstr>'UF - OPERATIONS'!Print_Titles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Micaela Bandel</dc:creator>
  <cp:keywords/>
  <dc:description/>
  <cp:lastModifiedBy>Suzanne Gonzales</cp:lastModifiedBy>
  <cp:revision/>
  <cp:lastPrinted>2023-09-11T21:40:40Z</cp:lastPrinted>
  <dcterms:created xsi:type="dcterms:W3CDTF">2019-07-30T19:20:19Z</dcterms:created>
  <dcterms:modified xsi:type="dcterms:W3CDTF">2023-09-11T21:59:24Z</dcterms:modified>
  <cp:category/>
  <cp:contentStatus/>
</cp:coreProperties>
</file>